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ExxonMobil OFP\05 Communicatie\05 Bulletins\NL\mei 2023\"/>
    </mc:Choice>
  </mc:AlternateContent>
  <bookViews>
    <workbookView xWindow="0" yWindow="0" windowWidth="25200" windowHeight="11556"/>
  </bookViews>
  <sheets>
    <sheet name="Vergelijker ruilvoeten 23-24" sheetId="1" r:id="rId1"/>
    <sheet name="Blad2" sheetId="2" state="hidden" r:id="rId2"/>
  </sheets>
  <externalReferences>
    <externalReference r:id="rId3"/>
  </externalReferences>
  <definedNames>
    <definedName name="AOWcomp">'[1]Ruilvoeten 2022-2024'!$I$2:$K$23</definedName>
    <definedName name="Uitruil">'[1]Ruilvoeten 2022-2024'!$E$2:$G$16</definedName>
    <definedName name="Vervroegen">'[1]Ruilvoeten 2022-2024'!$A$2:$C$16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D24" i="1" l="1"/>
  <c r="E24" i="1" s="1"/>
  <c r="F24" i="1" s="1"/>
  <c r="D23" i="1"/>
  <c r="D19" i="1"/>
  <c r="E19" i="1" s="1"/>
  <c r="F19" i="1" s="1"/>
  <c r="D18" i="1"/>
  <c r="E18" i="1"/>
  <c r="F18" i="1" s="1"/>
  <c r="E4" i="1"/>
  <c r="D4" i="1"/>
  <c r="G22" i="1" l="1"/>
  <c r="C8" i="1"/>
  <c r="E23" i="1"/>
  <c r="F23" i="1" s="1"/>
  <c r="G23" i="1" s="1"/>
  <c r="D9" i="1"/>
  <c r="D5" i="1"/>
  <c r="E5" i="1"/>
  <c r="G18" i="1" s="1"/>
  <c r="D8" i="1"/>
  <c r="G17" i="1"/>
  <c r="D10" i="1"/>
  <c r="E8" i="1" l="1"/>
  <c r="C22" i="1" s="1"/>
  <c r="E10" i="1"/>
  <c r="E9" i="1"/>
  <c r="C19" i="1"/>
  <c r="C24" i="1"/>
  <c r="C17" i="1"/>
  <c r="D17" i="1" s="1"/>
  <c r="E17" i="1" s="1"/>
  <c r="F17" i="1" s="1"/>
  <c r="C18" i="1"/>
  <c r="C23" i="1"/>
  <c r="C6" i="1"/>
  <c r="D22" i="1" l="1"/>
  <c r="E22" i="1" s="1"/>
  <c r="F22" i="1" s="1"/>
</calcChain>
</file>

<file path=xl/sharedStrings.xml><?xml version="1.0" encoding="utf-8"?>
<sst xmlns="http://schemas.openxmlformats.org/spreadsheetml/2006/main" count="62" uniqueCount="46">
  <si>
    <t>Vervroegen</t>
  </si>
  <si>
    <t>Uitruil PP in OP</t>
  </si>
  <si>
    <t>AOW-compensatie</t>
  </si>
  <si>
    <t>Leeftijd</t>
  </si>
  <si>
    <t>Ruilvoet 2022</t>
  </si>
  <si>
    <t>Ruilvoet 2024</t>
  </si>
  <si>
    <t>Vergelijker ruilvoeten 2023-2024 ExxonMobil OFP</t>
  </si>
  <si>
    <t>Lft pensioendatum</t>
  </si>
  <si>
    <t>AOW-leeftijd</t>
  </si>
  <si>
    <t>Legenda</t>
  </si>
  <si>
    <t>Ruilvoeten 2023</t>
  </si>
  <si>
    <t>Invoervelden (zelf invullen)</t>
  </si>
  <si>
    <t>Ruilvoeten 2024 (voorlopig)</t>
  </si>
  <si>
    <t>Resultaat van de berekening</t>
  </si>
  <si>
    <t>Keuzes:</t>
  </si>
  <si>
    <t>Pens.datum 1</t>
  </si>
  <si>
    <t>Pens.datum 2</t>
  </si>
  <si>
    <t>Toelichting</t>
  </si>
  <si>
    <t>Uitruil PP voor extra OP</t>
  </si>
  <si>
    <t>Uitruil OP voor OVP</t>
  </si>
  <si>
    <t>Bedrag AOW-compensatie</t>
  </si>
  <si>
    <t>Uitgangssituatie:</t>
  </si>
  <si>
    <t>Opgebouwd Ouderdomspensioen</t>
  </si>
  <si>
    <t>Opgebouwd Partnerpensioen</t>
  </si>
  <si>
    <t>Ouderdomspensioen</t>
  </si>
  <si>
    <t>Partnerpensioen</t>
  </si>
  <si>
    <t>Ruilvoeten 2024</t>
  </si>
  <si>
    <t>Disclaimer:</t>
  </si>
  <si>
    <t>-   Dit is een indicatieve berekening om het effect van de wijziging van de ruilvoeten 2023 en 2024 inzichtelijk te maken.</t>
  </si>
  <si>
    <t>-   De ruilvoeten 2024 zijn niet definitief; deze kunnen pas vastgesteld worden als de rente per 30 september 2023 bekend is.</t>
  </si>
  <si>
    <t>-   Er kunnen aan deze berekening geen rechten worden ontleend.</t>
  </si>
  <si>
    <t>-   Indien u besluit om uiterlijk 1-1-2024 met pensioen te gaan worden de opgebouwde pensioenen uitgeruild op basis van de ruilvoeten 2023.</t>
  </si>
  <si>
    <t xml:space="preserve">-   Indien u na 1-1-2024 met pensioen gaat worden de opgebouwde pensioenen uitgeruild op basis van de ruilvoeten 2024. Dit leidt tot een </t>
  </si>
  <si>
    <t xml:space="preserve">     lagere uitgeruilde aanspraak dan op basis van de ruilvoeten 2023 kan worden verkregen, maar u bouwt dan wel langer pensioen op, ontvangt</t>
  </si>
  <si>
    <t>-   In beide gevallen wordt gerekend met de leeftijd per 1 januari 2024.</t>
  </si>
  <si>
    <t>Let op: U dient de op dit moment opgebouwde bedragen in te vullen, niet de in uitzicht gestelde bedragen</t>
  </si>
  <si>
    <t>op pensioenleeftijd. Deze bedragen kunt u vinden op uw laatste UPO of op www.mijnpensioenoverzicht.nl</t>
  </si>
  <si>
    <t>AOW_gehuwd</t>
  </si>
  <si>
    <t>Rekenvelden (automatisch ingevuld)</t>
  </si>
  <si>
    <t>Geboortedatum (mnd/dag/jr)</t>
  </si>
  <si>
    <t xml:space="preserve">     langer salaris en bij ingang na 1 mei 2024 heeft u ook nog recht op de indexatie op basis van de maatstaf van de actieven.</t>
  </si>
  <si>
    <t>Na toepassing keuzes</t>
  </si>
  <si>
    <t>Na toepassen keuzes</t>
  </si>
  <si>
    <t>Uitruil partnerpensioen (PP) voor extra ouderdomspensioen (OP)</t>
  </si>
  <si>
    <t>Uitruil ouderdomspensioen (PP) voor overbruggingspensioen (OVP)</t>
  </si>
  <si>
    <t>Nee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</si>
</sst>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0">
    <xf numFmtId="0" fontId="0" fillId="0" borderId="0" xfId="0"/>
    <xf numFmtId="0" fontId="5" fillId="0" borderId="0" xfId="0" applyFont="1"/>
    <xf numFmtId="0" fontId="6" fillId="0" borderId="0" xfId="0" applyFont="1"/>
    <xf numFmtId="10" fontId="0" fillId="0" borderId="0" xfId="1" applyNumberFormat="1" applyFont="1"/>
    <xf numFmtId="10" fontId="6" fillId="0" borderId="0" xfId="1" applyNumberFormat="1" applyFont="1"/>
    <xf numFmtId="164" fontId="0" fillId="0" borderId="0" xfId="0" applyNumberFormat="1"/>
    <xf numFmtId="14" fontId="0" fillId="2" borderId="0" xfId="0" applyNumberFormat="1" applyFill="1"/>
    <xf numFmtId="0" fontId="3" fillId="0" borderId="0" xfId="0" applyFont="1"/>
    <xf numFmtId="0" fontId="5" fillId="0" borderId="1" xfId="0" applyFont="1" applyBorder="1"/>
    <xf numFmtId="0" fontId="0" fillId="0" borderId="2" xfId="0" applyBorder="1"/>
    <xf numFmtId="14" fontId="0" fillId="3" borderId="0" xfId="0" applyNumberFormat="1" applyFill="1"/>
    <xf numFmtId="0" fontId="0" fillId="2" borderId="3" xfId="0" applyFill="1" applyBorder="1"/>
    <xf numFmtId="0" fontId="0" fillId="2" borderId="4" xfId="0" applyFill="1" applyBorder="1"/>
    <xf numFmtId="0" fontId="7" fillId="3" borderId="3" xfId="0" applyFont="1" applyFill="1" applyBorder="1"/>
    <xf numFmtId="0" fontId="0" fillId="3" borderId="4" xfId="0" applyFill="1" applyBorder="1"/>
    <xf numFmtId="0" fontId="8" fillId="0" borderId="0" xfId="0" applyFont="1"/>
    <xf numFmtId="0" fontId="2" fillId="0" borderId="0" xfId="0" applyFont="1"/>
    <xf numFmtId="0" fontId="0" fillId="0" borderId="0" xfId="0" applyFont="1"/>
    <xf numFmtId="164" fontId="4" fillId="0" borderId="0" xfId="0" applyNumberFormat="1" applyFont="1"/>
    <xf numFmtId="4" fontId="0" fillId="3" borderId="0" xfId="0" applyNumberFormat="1" applyFill="1"/>
    <xf numFmtId="0" fontId="8" fillId="0" borderId="0" xfId="0" applyFont="1" applyFill="1"/>
    <xf numFmtId="0" fontId="0" fillId="0" borderId="0" xfId="0" applyFill="1"/>
    <xf numFmtId="4" fontId="0" fillId="2" borderId="0" xfId="0" applyNumberFormat="1" applyFill="1"/>
    <xf numFmtId="0" fontId="3" fillId="0" borderId="8" xfId="0" applyFont="1" applyBorder="1"/>
    <xf numFmtId="0" fontId="0" fillId="0" borderId="8" xfId="0" applyBorder="1"/>
    <xf numFmtId="0" fontId="0" fillId="0" borderId="10" xfId="0" applyBorder="1"/>
    <xf numFmtId="0" fontId="3" fillId="0" borderId="3" xfId="0" applyFont="1" applyBorder="1"/>
    <xf numFmtId="4" fontId="0" fillId="0" borderId="0" xfId="0" applyNumberFormat="1" applyBorder="1"/>
    <xf numFmtId="0" fontId="0" fillId="0" borderId="0" xfId="0" applyBorder="1"/>
    <xf numFmtId="0" fontId="0" fillId="0" borderId="4" xfId="0" applyBorder="1"/>
    <xf numFmtId="0" fontId="3" fillId="0" borderId="5" xfId="0" applyFont="1" applyBorder="1"/>
    <xf numFmtId="4" fontId="0" fillId="0" borderId="12" xfId="0" applyNumberFormat="1" applyBorder="1"/>
    <xf numFmtId="0" fontId="0" fillId="0" borderId="12" xfId="0" applyBorder="1"/>
    <xf numFmtId="0" fontId="0" fillId="0" borderId="6" xfId="0" applyBorder="1"/>
    <xf numFmtId="0" fontId="0" fillId="0" borderId="0" xfId="0" applyAlignment="1">
      <alignment wrapText="1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/>
    </xf>
    <xf numFmtId="0" fontId="8" fillId="4" borderId="7" xfId="0" applyFont="1" applyFill="1" applyBorder="1" applyAlignment="1">
      <alignment horizontal="left" vertical="center"/>
    </xf>
    <xf numFmtId="0" fontId="8" fillId="4" borderId="8" xfId="0" applyFont="1" applyFill="1" applyBorder="1"/>
    <xf numFmtId="0" fontId="8" fillId="4" borderId="10" xfId="0" applyFont="1" applyFill="1" applyBorder="1"/>
    <xf numFmtId="0" fontId="8" fillId="4" borderId="3" xfId="0" quotePrefix="1" applyFont="1" applyFill="1" applyBorder="1" applyAlignment="1">
      <alignment horizontal="left" vertical="center"/>
    </xf>
    <xf numFmtId="0" fontId="8" fillId="4" borderId="0" xfId="0" applyFont="1" applyFill="1" applyBorder="1"/>
    <xf numFmtId="0" fontId="8" fillId="4" borderId="4" xfId="0" applyFont="1" applyFill="1" applyBorder="1"/>
    <xf numFmtId="0" fontId="8" fillId="4" borderId="3" xfId="0" applyFont="1" applyFill="1" applyBorder="1" applyAlignment="1">
      <alignment horizontal="left" vertical="center"/>
    </xf>
    <xf numFmtId="0" fontId="8" fillId="4" borderId="5" xfId="0" quotePrefix="1" applyFont="1" applyFill="1" applyBorder="1" applyAlignment="1">
      <alignment horizontal="left" vertical="center"/>
    </xf>
    <xf numFmtId="0" fontId="8" fillId="4" borderId="12" xfId="0" applyFont="1" applyFill="1" applyBorder="1"/>
    <xf numFmtId="0" fontId="8" fillId="4" borderId="6" xfId="0" applyFont="1" applyFill="1" applyBorder="1"/>
    <xf numFmtId="0" fontId="5" fillId="5" borderId="7" xfId="0" applyFont="1" applyFill="1" applyBorder="1"/>
    <xf numFmtId="0" fontId="3" fillId="5" borderId="9" xfId="0" applyFont="1" applyFill="1" applyBorder="1"/>
    <xf numFmtId="4" fontId="0" fillId="5" borderId="11" xfId="0" applyNumberFormat="1" applyFill="1" applyBorder="1"/>
    <xf numFmtId="4" fontId="0" fillId="5" borderId="13" xfId="0" applyNumberFormat="1" applyFill="1" applyBorder="1"/>
    <xf numFmtId="165" fontId="0" fillId="3" borderId="0" xfId="0" applyNumberFormat="1" applyFill="1"/>
    <xf numFmtId="0" fontId="0" fillId="5" borderId="3" xfId="0" applyFill="1" applyBorder="1"/>
    <xf numFmtId="0" fontId="0" fillId="5" borderId="4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10" xfId="0" applyFill="1" applyBorder="1"/>
    <xf numFmtId="0" fontId="0" fillId="4" borderId="5" xfId="0" applyFill="1" applyBorder="1"/>
    <xf numFmtId="0" fontId="0" fillId="4" borderId="12" xfId="0" applyFill="1" applyBorder="1"/>
    <xf numFmtId="0" fontId="0" fillId="4" borderId="6" xfId="0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WEA\RET_PROV\NL\CLIENT\EXXO48\2023\Advisering\Flexfactoren%202024\Vergelijker%20ruilvoeten%202023-2024%20(concept%2024-5-202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ner"/>
      <sheetName val="Ruilvoeten 2022-2024"/>
    </sheetNames>
    <sheetDataSet>
      <sheetData sheetId="0"/>
      <sheetData sheetId="1">
        <row r="2">
          <cell r="A2" t="str">
            <v>Leeftijd</v>
          </cell>
          <cell r="B2" t="str">
            <v>Ruilvoet 2022</v>
          </cell>
          <cell r="C2" t="str">
            <v>Ruilvoet 2024</v>
          </cell>
          <cell r="E2" t="str">
            <v>Leeftijd</v>
          </cell>
          <cell r="F2" t="str">
            <v>Ruilvoet 2022</v>
          </cell>
          <cell r="G2" t="str">
            <v>Ruilvoet 2024</v>
          </cell>
          <cell r="I2" t="str">
            <v>Leeftijd</v>
          </cell>
          <cell r="J2" t="str">
            <v>Ruilvoet 2022</v>
          </cell>
          <cell r="K2" t="str">
            <v>Ruilvoet 2024</v>
          </cell>
        </row>
        <row r="3">
          <cell r="A3">
            <v>55</v>
          </cell>
          <cell r="B3">
            <v>0.58160000000000001</v>
          </cell>
          <cell r="C3">
            <v>0.53190000000000004</v>
          </cell>
          <cell r="E3">
            <v>55</v>
          </cell>
          <cell r="F3">
            <v>0.22800000000000001</v>
          </cell>
          <cell r="G3">
            <v>0.1893</v>
          </cell>
          <cell r="I3">
            <v>57</v>
          </cell>
          <cell r="J3">
            <v>2.8906999999999998</v>
          </cell>
          <cell r="K3">
            <v>2.5674999999999999</v>
          </cell>
        </row>
        <row r="4">
          <cell r="A4">
            <v>56</v>
          </cell>
          <cell r="B4">
            <v>0.60070000000000001</v>
          </cell>
          <cell r="C4">
            <v>0.55320000000000003</v>
          </cell>
          <cell r="E4">
            <v>56</v>
          </cell>
          <cell r="F4">
            <v>0.23530000000000001</v>
          </cell>
          <cell r="G4">
            <v>0.1966</v>
          </cell>
          <cell r="I4">
            <v>58</v>
          </cell>
          <cell r="J4">
            <v>3.1</v>
          </cell>
          <cell r="K4">
            <v>2.7521</v>
          </cell>
        </row>
        <row r="5">
          <cell r="A5">
            <v>57</v>
          </cell>
          <cell r="B5">
            <v>0.62129999999999996</v>
          </cell>
          <cell r="C5">
            <v>0.57599999999999996</v>
          </cell>
          <cell r="E5">
            <v>57</v>
          </cell>
          <cell r="F5">
            <v>0.24279999999999999</v>
          </cell>
          <cell r="G5">
            <v>0.2041</v>
          </cell>
          <cell r="I5">
            <v>59</v>
          </cell>
          <cell r="J5">
            <v>3.3620000000000001</v>
          </cell>
          <cell r="K5">
            <v>2.9830000000000001</v>
          </cell>
        </row>
        <row r="6">
          <cell r="A6">
            <v>58</v>
          </cell>
          <cell r="B6">
            <v>0.64329999999999998</v>
          </cell>
          <cell r="C6">
            <v>0.60050000000000003</v>
          </cell>
          <cell r="E6">
            <v>58</v>
          </cell>
          <cell r="F6">
            <v>0.25059999999999999</v>
          </cell>
          <cell r="G6">
            <v>0.21199999999999999</v>
          </cell>
          <cell r="I6">
            <v>60</v>
          </cell>
          <cell r="J6">
            <v>3.6991999999999998</v>
          </cell>
          <cell r="K6">
            <v>3.2804000000000002</v>
          </cell>
        </row>
        <row r="7">
          <cell r="A7">
            <v>59</v>
          </cell>
          <cell r="B7">
            <v>0.66700000000000004</v>
          </cell>
          <cell r="C7">
            <v>0.62680000000000002</v>
          </cell>
          <cell r="E7">
            <v>59</v>
          </cell>
          <cell r="F7">
            <v>0.25879999999999997</v>
          </cell>
          <cell r="G7">
            <v>0.22020000000000001</v>
          </cell>
          <cell r="I7">
            <v>61</v>
          </cell>
          <cell r="J7">
            <v>4.1494999999999997</v>
          </cell>
          <cell r="K7">
            <v>3.6774</v>
          </cell>
        </row>
        <row r="8">
          <cell r="A8">
            <v>60</v>
          </cell>
          <cell r="B8">
            <v>0.69259999999999999</v>
          </cell>
          <cell r="C8">
            <v>0.65529999999999999</v>
          </cell>
          <cell r="E8">
            <v>60</v>
          </cell>
          <cell r="F8">
            <v>0.26729999999999998</v>
          </cell>
          <cell r="G8">
            <v>0.22889999999999999</v>
          </cell>
          <cell r="I8">
            <v>62</v>
          </cell>
          <cell r="J8">
            <v>4.7805999999999997</v>
          </cell>
          <cell r="K8">
            <v>4.2339000000000002</v>
          </cell>
        </row>
        <row r="9">
          <cell r="A9">
            <v>61</v>
          </cell>
          <cell r="B9">
            <v>0.72030000000000005</v>
          </cell>
          <cell r="C9">
            <v>0.68620000000000003</v>
          </cell>
          <cell r="E9">
            <v>61</v>
          </cell>
          <cell r="F9">
            <v>0.27610000000000001</v>
          </cell>
          <cell r="G9">
            <v>0.23780000000000001</v>
          </cell>
          <cell r="I9">
            <v>63</v>
          </cell>
          <cell r="J9">
            <v>5.7283999999999997</v>
          </cell>
          <cell r="K9">
            <v>5.0694999999999997</v>
          </cell>
        </row>
        <row r="10">
          <cell r="A10">
            <v>62</v>
          </cell>
          <cell r="B10">
            <v>0.75039999999999996</v>
          </cell>
          <cell r="C10">
            <v>0.71970000000000001</v>
          </cell>
          <cell r="E10">
            <v>62</v>
          </cell>
          <cell r="F10">
            <v>0.28520000000000001</v>
          </cell>
          <cell r="G10">
            <v>0.2472</v>
          </cell>
          <cell r="I10">
            <v>64</v>
          </cell>
          <cell r="J10">
            <v>7.3097000000000003</v>
          </cell>
          <cell r="K10">
            <v>6.4637000000000002</v>
          </cell>
        </row>
        <row r="11">
          <cell r="A11">
            <v>63</v>
          </cell>
          <cell r="B11">
            <v>0.78300000000000003</v>
          </cell>
          <cell r="C11">
            <v>0.75619999999999998</v>
          </cell>
          <cell r="E11">
            <v>63</v>
          </cell>
          <cell r="F11">
            <v>0.29470000000000002</v>
          </cell>
          <cell r="G11">
            <v>0.25700000000000001</v>
          </cell>
          <cell r="I11">
            <v>65</v>
          </cell>
          <cell r="J11">
            <v>10.4749</v>
          </cell>
          <cell r="K11">
            <v>9.2542000000000009</v>
          </cell>
        </row>
        <row r="12">
          <cell r="A12">
            <v>64</v>
          </cell>
          <cell r="B12">
            <v>0.81859999999999999</v>
          </cell>
          <cell r="C12">
            <v>0.79610000000000003</v>
          </cell>
          <cell r="E12">
            <v>64</v>
          </cell>
          <cell r="F12">
            <v>0.30459999999999998</v>
          </cell>
          <cell r="G12">
            <v>0.26719999999999999</v>
          </cell>
          <cell r="I12">
            <v>66</v>
          </cell>
          <cell r="J12">
            <v>19.976299999999998</v>
          </cell>
          <cell r="K12">
            <v>17.6311</v>
          </cell>
        </row>
        <row r="13">
          <cell r="A13">
            <v>65</v>
          </cell>
          <cell r="B13">
            <v>0.85770000000000002</v>
          </cell>
          <cell r="C13">
            <v>0.83979999999999999</v>
          </cell>
          <cell r="E13">
            <v>65</v>
          </cell>
          <cell r="F13">
            <v>0.31480000000000002</v>
          </cell>
          <cell r="G13">
            <v>0.27779999999999999</v>
          </cell>
          <cell r="I13">
            <v>66.083333333333329</v>
          </cell>
          <cell r="J13">
            <v>21.7148</v>
          </cell>
          <cell r="K13">
            <v>19.172799999999999</v>
          </cell>
        </row>
        <row r="14">
          <cell r="A14">
            <v>66</v>
          </cell>
          <cell r="B14">
            <v>0.90049999999999997</v>
          </cell>
          <cell r="C14">
            <v>0.88790000000000002</v>
          </cell>
          <cell r="E14">
            <v>66</v>
          </cell>
          <cell r="F14">
            <v>0.32550000000000001</v>
          </cell>
          <cell r="G14">
            <v>0.28889999999999999</v>
          </cell>
          <cell r="I14">
            <v>66.166666666666671</v>
          </cell>
          <cell r="J14">
            <v>23.800999999999998</v>
          </cell>
          <cell r="K14">
            <v>21.0228</v>
          </cell>
        </row>
        <row r="15">
          <cell r="A15">
            <v>67</v>
          </cell>
          <cell r="B15">
            <v>0.94769999999999999</v>
          </cell>
          <cell r="C15">
            <v>0.94110000000000005</v>
          </cell>
          <cell r="E15">
            <v>67</v>
          </cell>
          <cell r="F15">
            <v>0.33650000000000002</v>
          </cell>
          <cell r="G15">
            <v>0.3004</v>
          </cell>
          <cell r="I15">
            <v>66.25</v>
          </cell>
          <cell r="J15">
            <v>26.3507</v>
          </cell>
          <cell r="K15">
            <v>23.283999999999999</v>
          </cell>
        </row>
        <row r="16">
          <cell r="A16">
            <v>68</v>
          </cell>
          <cell r="B16">
            <v>1</v>
          </cell>
          <cell r="C16">
            <v>1</v>
          </cell>
          <cell r="E16">
            <v>68</v>
          </cell>
          <cell r="F16">
            <v>0.3473</v>
          </cell>
          <cell r="G16">
            <v>0.31190000000000001</v>
          </cell>
          <cell r="I16">
            <v>66.333333333333329</v>
          </cell>
          <cell r="J16">
            <v>29.5379</v>
          </cell>
          <cell r="K16">
            <v>26.110399999999998</v>
          </cell>
        </row>
        <row r="17">
          <cell r="I17">
            <v>66.416666666666671</v>
          </cell>
          <cell r="J17">
            <v>33.635800000000003</v>
          </cell>
          <cell r="K17">
            <v>29.744499999999999</v>
          </cell>
        </row>
        <row r="18">
          <cell r="I18">
            <v>66.5</v>
          </cell>
          <cell r="J18">
            <v>39.099499999999999</v>
          </cell>
          <cell r="K18">
            <v>34.589799999999997</v>
          </cell>
        </row>
        <row r="19">
          <cell r="I19">
            <v>66.583333333333329</v>
          </cell>
          <cell r="J19">
            <v>46.748800000000003</v>
          </cell>
          <cell r="K19">
            <v>41.3733</v>
          </cell>
        </row>
        <row r="20">
          <cell r="I20">
            <v>66.666666666666671</v>
          </cell>
          <cell r="J20">
            <v>58.222700000000003</v>
          </cell>
          <cell r="K20">
            <v>51.5486</v>
          </cell>
        </row>
        <row r="21">
          <cell r="I21">
            <v>66.75</v>
          </cell>
          <cell r="J21">
            <v>77.3459</v>
          </cell>
          <cell r="K21">
            <v>68.507300000000001</v>
          </cell>
        </row>
        <row r="22">
          <cell r="I22">
            <v>66.833333333333329</v>
          </cell>
          <cell r="J22">
            <v>115.59229999999999</v>
          </cell>
          <cell r="K22">
            <v>102.4248</v>
          </cell>
        </row>
        <row r="23">
          <cell r="I23">
            <v>66.916666666666671</v>
          </cell>
          <cell r="J23">
            <v>230.33150000000001</v>
          </cell>
          <cell r="K23">
            <v>204.17740000000001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tabSelected="1" zoomScale="85" zoomScaleNormal="85" workbookViewId="0">
      <selection activeCell="B1" sqref="B1"/>
    </sheetView>
  </sheetViews>
  <sheetFormatPr defaultRowHeight="14.4" x14ac:dyDescent="0.3"/>
  <cols>
    <col min="1" max="1" width="3.109375" customWidth="1"/>
    <col min="2" max="2" width="30.44140625" customWidth="1"/>
    <col min="3" max="3" width="15.6640625" customWidth="1"/>
    <col min="4" max="4" width="22.33203125" customWidth="1"/>
    <col min="5" max="6" width="18.6640625" customWidth="1"/>
    <col min="7" max="8" width="13" customWidth="1"/>
    <col min="9" max="9" width="17.109375" customWidth="1"/>
  </cols>
  <sheetData>
    <row r="1" spans="2:9" x14ac:dyDescent="0.3">
      <c r="B1" s="1" t="s">
        <v>6</v>
      </c>
    </row>
    <row r="3" spans="2:9" x14ac:dyDescent="0.3">
      <c r="B3" t="s">
        <v>39</v>
      </c>
      <c r="C3" s="6">
        <v>22007</v>
      </c>
      <c r="D3" s="7" t="s">
        <v>7</v>
      </c>
      <c r="E3" s="7" t="s">
        <v>8</v>
      </c>
      <c r="H3" s="8" t="s">
        <v>9</v>
      </c>
      <c r="I3" s="9"/>
    </row>
    <row r="4" spans="2:9" x14ac:dyDescent="0.3">
      <c r="B4" t="s">
        <v>10</v>
      </c>
      <c r="C4" s="10">
        <v>45292</v>
      </c>
      <c r="D4" s="51">
        <f>YEAR(C4)-YEAR($C$3)+(MONTH(C4)-MONTH($C$3))/12</f>
        <v>63.75</v>
      </c>
      <c r="E4" s="51">
        <f>IF(C3&lt;20880,66+10/12,IF(C3&lt;22282,67,67+3/12))</f>
        <v>67</v>
      </c>
      <c r="H4" s="11" t="s">
        <v>11</v>
      </c>
      <c r="I4" s="12"/>
    </row>
    <row r="5" spans="2:9" x14ac:dyDescent="0.3">
      <c r="B5" t="s">
        <v>12</v>
      </c>
      <c r="C5" s="10">
        <v>45323</v>
      </c>
      <c r="D5" s="51">
        <f>D4</f>
        <v>63.75</v>
      </c>
      <c r="E5" s="51">
        <f>E4</f>
        <v>67</v>
      </c>
      <c r="H5" s="13" t="s">
        <v>38</v>
      </c>
      <c r="I5" s="14"/>
    </row>
    <row r="6" spans="2:9" x14ac:dyDescent="0.3">
      <c r="C6" s="15" t="str">
        <f>IF(AND(C10&lt;&gt;"Nee",OR(E4&lt;=D4,E5&lt;=D5)),"Lft pensioendatum groter of gelijk aan AOW-leeftijd, graag cel B10 op 'Nee' zetten!","")</f>
        <v/>
      </c>
      <c r="H6" s="52" t="s">
        <v>13</v>
      </c>
      <c r="I6" s="53"/>
    </row>
    <row r="7" spans="2:9" x14ac:dyDescent="0.3">
      <c r="B7" s="7" t="s">
        <v>14</v>
      </c>
      <c r="D7" s="16" t="s">
        <v>15</v>
      </c>
      <c r="E7" s="16" t="s">
        <v>16</v>
      </c>
      <c r="H7" s="57" t="s">
        <v>17</v>
      </c>
      <c r="I7" s="59"/>
    </row>
    <row r="8" spans="2:9" x14ac:dyDescent="0.3">
      <c r="B8" s="17" t="s">
        <v>0</v>
      </c>
      <c r="C8" s="36" t="str">
        <f>IF(D4&lt;68,"Ja","Nee")</f>
        <v>Ja</v>
      </c>
      <c r="D8" s="18">
        <f>($D$4-INT($D$4))*VLOOKUP(INT($D$4)+1,Vervroegen,2,FALSE)+(1-($D$4-INT($D$4)))*VLOOKUP(INT($D$4),Vervroegen,2,FALSE)</f>
        <v>0.80969999999999998</v>
      </c>
      <c r="E8" s="18">
        <f>($D$5-INT($D$5))*VLOOKUP(INT($D$5)+1,Vervroegen,3,FALSE)+(1-($D$5-INT($D$5)))*VLOOKUP(INT($D$5),Vervroegen,3,FALSE)</f>
        <v>0.78612499999999996</v>
      </c>
    </row>
    <row r="9" spans="2:9" ht="28.8" x14ac:dyDescent="0.3">
      <c r="B9" s="34" t="s">
        <v>43</v>
      </c>
      <c r="C9" s="35" t="s">
        <v>45</v>
      </c>
      <c r="D9" s="18">
        <f>($D$4-INT($D$4))*VLOOKUP(INT($D$4)+1,Uitruil,2,FALSE)+(1-($D$4-INT($D$4)))*VLOOKUP(INT($D$4),Uitruil,2,FALSE)</f>
        <v>0.30212499999999998</v>
      </c>
      <c r="E9" s="18">
        <f>($D$5-INT($D$5))*VLOOKUP(INT($D$5)+1,Uitruil,3,FALSE)+(1-($D$5-INT($D$5)))*VLOOKUP(INT($D$5),Uitruil,3,FALSE)</f>
        <v>0.26465</v>
      </c>
    </row>
    <row r="10" spans="2:9" ht="28.8" x14ac:dyDescent="0.3">
      <c r="B10" s="34" t="s">
        <v>44</v>
      </c>
      <c r="C10" s="35" t="s">
        <v>37</v>
      </c>
      <c r="D10" s="18">
        <f>IF(D4&lt;66,($D$4-INT($D$4))*VLOOKUP(INT($D$4)+1,AOWcomp,2,FALSE)+(1-($D$4-INT($D$4)))*VLOOKUP(INT($D$4),AOWcomp,2,FALSE),VLOOKUP(D4,AOWcomp,2,FALSE))</f>
        <v>6.9143750000000006</v>
      </c>
      <c r="E10" s="18">
        <f>IF(D5&lt;66,($D$5-INT($D$5))*VLOOKUP(INT($D$5)+1,AOWcomp,3,FALSE)+(1-($D$5-INT($D$5)))*VLOOKUP(INT($D$5),AOWcomp,3,FALSE),VLOOKUP(D5,AOWcomp,3,FALSE))</f>
        <v>6.1151499999999999</v>
      </c>
      <c r="F10" s="19">
        <f>IF(C10="Nee","",IF(C10="2xAOW_gehuwd",24482.64,IF(C10="AOW_gehuwd",12241.32)))</f>
        <v>12241.32</v>
      </c>
      <c r="G10" t="s">
        <v>20</v>
      </c>
      <c r="H10" s="20"/>
      <c r="I10" s="21"/>
    </row>
    <row r="12" spans="2:9" x14ac:dyDescent="0.3">
      <c r="B12" s="7" t="s">
        <v>21</v>
      </c>
      <c r="D12" s="21"/>
    </row>
    <row r="13" spans="2:9" x14ac:dyDescent="0.3">
      <c r="B13" t="s">
        <v>22</v>
      </c>
      <c r="C13" s="22">
        <v>30000</v>
      </c>
      <c r="D13" s="54" t="s">
        <v>35</v>
      </c>
      <c r="E13" s="55"/>
      <c r="F13" s="55"/>
      <c r="G13" s="55"/>
      <c r="H13" s="55"/>
      <c r="I13" s="56"/>
    </row>
    <row r="14" spans="2:9" x14ac:dyDescent="0.3">
      <c r="B14" t="s">
        <v>23</v>
      </c>
      <c r="C14" s="22">
        <v>21000</v>
      </c>
      <c r="D14" s="57" t="s">
        <v>36</v>
      </c>
      <c r="E14" s="58"/>
      <c r="F14" s="58"/>
      <c r="G14" s="58"/>
      <c r="H14" s="58"/>
      <c r="I14" s="59"/>
    </row>
    <row r="16" spans="2:9" x14ac:dyDescent="0.3">
      <c r="B16" s="47" t="s">
        <v>10</v>
      </c>
      <c r="C16" s="23" t="s">
        <v>0</v>
      </c>
      <c r="D16" s="23" t="s">
        <v>18</v>
      </c>
      <c r="E16" s="23" t="s">
        <v>19</v>
      </c>
      <c r="F16" s="48" t="s">
        <v>41</v>
      </c>
      <c r="G16" s="24"/>
      <c r="H16" s="24"/>
      <c r="I16" s="25"/>
    </row>
    <row r="17" spans="2:9" x14ac:dyDescent="0.3">
      <c r="B17" s="26" t="s">
        <v>24</v>
      </c>
      <c r="C17" s="27">
        <f>IF(C8="Ja",ROUND(C13*D8,2),"nvt")</f>
        <v>24291</v>
      </c>
      <c r="D17" s="27" t="str">
        <f>IF(C9="Ja 100%",IF(C17="nvt",C13,C17)+IF(C17="nvt",ROUND(C14*$D$9,2),ROUND(C19*$D$9,2)),IF(C9="Ja 50%",IF(C17="nvt",C13,C17)+IF(C17="nvt",ROUND(50%*C14*$D$9,2),ROUND(50%*C19*$D$9,2)),"nvt"))</f>
        <v>nvt</v>
      </c>
      <c r="E17" s="27">
        <f>IF(C10="Nee","nvt",IF(C10&lt;&gt;"Nee",IF(D17&lt;&gt;"nvt",ROUND(D17-E18/D10,2),IF(C17&lt;&gt;"nvt",ROUND(C17-E18/D10,2)))))</f>
        <v>22520.58</v>
      </c>
      <c r="F17" s="49">
        <f>IF(E17&lt;&gt;"nvt",E17,IF(D17&lt;&gt;"nvt",D17,IF(C17&lt;&gt;"nvt",C17,C8)))</f>
        <v>22520.58</v>
      </c>
      <c r="G17" s="28" t="str">
        <f>"Ingaand op leeftijd "&amp;INT(D4)&amp;" en "&amp;ROUND((D4-INT(D4))*12,0)&amp;" maanden"</f>
        <v>Ingaand op leeftijd 63 en 9 maanden</v>
      </c>
      <c r="H17" s="28"/>
      <c r="I17" s="29"/>
    </row>
    <row r="18" spans="2:9" x14ac:dyDescent="0.3">
      <c r="B18" s="26" t="s">
        <v>2</v>
      </c>
      <c r="C18" s="27">
        <f>IF(C8="Ja",0,"nvt")</f>
        <v>0</v>
      </c>
      <c r="D18" s="27" t="str">
        <f>IF(C9="Nee","nvt",0)</f>
        <v>nvt</v>
      </c>
      <c r="E18" s="27">
        <f>IF(C10&lt;&gt;"Nee",F10,"nvt")</f>
        <v>12241.32</v>
      </c>
      <c r="F18" s="49">
        <f>IF(E18&lt;&gt;"nvt",E18,0)</f>
        <v>12241.32</v>
      </c>
      <c r="G18" s="28" t="str">
        <f>IF(F18&gt;0,"Eindigend op leeftijd "&amp;INT(E5)&amp;" en "&amp;ROUND((E5-INT(E5))*12,0)&amp;" maanden","")</f>
        <v>Eindigend op leeftijd 67 en 0 maanden</v>
      </c>
      <c r="H18" s="28"/>
      <c r="I18" s="29"/>
    </row>
    <row r="19" spans="2:9" x14ac:dyDescent="0.3">
      <c r="B19" s="30" t="s">
        <v>25</v>
      </c>
      <c r="C19" s="31">
        <f>IF(C8="Ja",C14,"nvt")</f>
        <v>21000</v>
      </c>
      <c r="D19" s="31" t="str">
        <f>IF(C9="Ja 100%",0,IF(C9="Ja 50%",50%*C14,"nvt"))</f>
        <v>nvt</v>
      </c>
      <c r="E19" s="31">
        <f>IF(C10&lt;&gt;"Nee",IF(D19&lt;&gt;"nvt",D19,IF(C19&lt;&gt;"nvt",C19,C14)),"nvt")</f>
        <v>21000</v>
      </c>
      <c r="F19" s="50">
        <f>IF(E19&lt;&gt;"nvt",E19,IF(D19&lt;&gt;"nvt",D19,IF(C19&lt;&gt;"nvt",C19,C9)))</f>
        <v>21000</v>
      </c>
      <c r="G19" s="32"/>
      <c r="H19" s="32"/>
      <c r="I19" s="33"/>
    </row>
    <row r="21" spans="2:9" x14ac:dyDescent="0.3">
      <c r="B21" s="47" t="s">
        <v>26</v>
      </c>
      <c r="C21" s="23" t="s">
        <v>0</v>
      </c>
      <c r="D21" s="23" t="s">
        <v>18</v>
      </c>
      <c r="E21" s="23" t="s">
        <v>19</v>
      </c>
      <c r="F21" s="48" t="s">
        <v>42</v>
      </c>
      <c r="G21" s="24"/>
      <c r="H21" s="24"/>
      <c r="I21" s="25"/>
    </row>
    <row r="22" spans="2:9" x14ac:dyDescent="0.3">
      <c r="B22" s="26" t="s">
        <v>24</v>
      </c>
      <c r="C22" s="27">
        <f>IF(C8="Ja",ROUND(C13*E8,2),"nvt")</f>
        <v>23583.75</v>
      </c>
      <c r="D22" s="27" t="str">
        <f>IF(C9="Ja 100%",IF(C22="nvt",C13,C22)+IF(C22="nvt",ROUND(C14*$E$9,2),ROUND(C24*$E$9,2)),IF(C9="Ja 50%",IF(C22="nvt",C13,C22)+IF(C22="nvt",ROUND(50%*C14*$E$9,2),ROUND(50%*C24*$E$9,2)),"nvt"))</f>
        <v>nvt</v>
      </c>
      <c r="E22" s="27">
        <f>IF(C10="Nee","nvt",IF(C10&lt;&gt;"Nee",IF(D22&lt;&gt;"nvt",ROUND(D22-E23/E10,2),IF(C22&lt;&gt;"nvt",ROUND(C22-E23/E10,2)))))</f>
        <v>21581.95</v>
      </c>
      <c r="F22" s="49">
        <f>IF(E22&lt;&gt;"nvt",E22,IF(D22&lt;&gt;"nvt",D22,IF(C22&lt;&gt;"nvt",C22,C13)))</f>
        <v>21581.95</v>
      </c>
      <c r="G22" s="28" t="str">
        <f>"Ingaand op leeftijd "&amp;INT(D4)&amp;" en "&amp;ROUND((D4-INT(D4))*12,0)&amp;" maanden"</f>
        <v>Ingaand op leeftijd 63 en 9 maanden</v>
      </c>
      <c r="H22" s="28"/>
      <c r="I22" s="29"/>
    </row>
    <row r="23" spans="2:9" x14ac:dyDescent="0.3">
      <c r="B23" s="26" t="s">
        <v>2</v>
      </c>
      <c r="C23" s="27">
        <f>IF(C8="Ja",0,"nvt")</f>
        <v>0</v>
      </c>
      <c r="D23" s="27" t="str">
        <f>IF(C9="Nee","nvt",0)</f>
        <v>nvt</v>
      </c>
      <c r="E23" s="27">
        <f>IF(C10&lt;&gt;"Nee",F10,"nvt")</f>
        <v>12241.32</v>
      </c>
      <c r="F23" s="49">
        <f>IF(E23&lt;&gt;"nvt",E23,0)</f>
        <v>12241.32</v>
      </c>
      <c r="G23" s="28" t="str">
        <f>IF(F23&gt;0,"Eindigend op leeftijd "&amp;INT(E4)&amp;" en "&amp;ROUND((E4-INT(E4))*12,0)&amp;" maanden","")</f>
        <v>Eindigend op leeftijd 67 en 0 maanden</v>
      </c>
      <c r="H23" s="28"/>
      <c r="I23" s="29"/>
    </row>
    <row r="24" spans="2:9" x14ac:dyDescent="0.3">
      <c r="B24" s="30" t="s">
        <v>25</v>
      </c>
      <c r="C24" s="31">
        <f>IF(C8="Ja",C14,"nvt")</f>
        <v>21000</v>
      </c>
      <c r="D24" s="31" t="str">
        <f>IF(C9="Ja 100%",0,IF(C9="Ja 50%",50%*C14,"nvt"))</f>
        <v>nvt</v>
      </c>
      <c r="E24" s="31">
        <f>IF(C10&lt;&gt;"Nee",IF(D24&lt;&gt;"nvt",D24,IF(C24&lt;&gt;"nvt",C24,C14)),"nvt")</f>
        <v>21000</v>
      </c>
      <c r="F24" s="50">
        <f>IF(E24&lt;&gt;"nvt",E24,IF(D24&lt;&gt;"nvt",D24,IF(C24&lt;&gt;"nvt",C24,C14)))</f>
        <v>21000</v>
      </c>
      <c r="G24" s="32"/>
      <c r="H24" s="32"/>
      <c r="I24" s="33"/>
    </row>
    <row r="27" spans="2:9" x14ac:dyDescent="0.3">
      <c r="B27" s="37" t="s">
        <v>27</v>
      </c>
      <c r="C27" s="38"/>
      <c r="D27" s="38"/>
      <c r="E27" s="38"/>
      <c r="F27" s="38"/>
      <c r="G27" s="38"/>
      <c r="H27" s="38"/>
      <c r="I27" s="39"/>
    </row>
    <row r="28" spans="2:9" x14ac:dyDescent="0.3">
      <c r="B28" s="40" t="s">
        <v>28</v>
      </c>
      <c r="C28" s="41"/>
      <c r="D28" s="41"/>
      <c r="E28" s="41"/>
      <c r="F28" s="41"/>
      <c r="G28" s="41"/>
      <c r="H28" s="41"/>
      <c r="I28" s="42"/>
    </row>
    <row r="29" spans="2:9" x14ac:dyDescent="0.3">
      <c r="B29" s="40" t="s">
        <v>29</v>
      </c>
      <c r="C29" s="41"/>
      <c r="D29" s="41"/>
      <c r="E29" s="41"/>
      <c r="F29" s="41"/>
      <c r="G29" s="41"/>
      <c r="H29" s="41"/>
      <c r="I29" s="42"/>
    </row>
    <row r="30" spans="2:9" x14ac:dyDescent="0.3">
      <c r="B30" s="40" t="s">
        <v>30</v>
      </c>
      <c r="C30" s="41"/>
      <c r="D30" s="41"/>
      <c r="E30" s="41"/>
      <c r="F30" s="41"/>
      <c r="G30" s="41"/>
      <c r="H30" s="41"/>
      <c r="I30" s="42"/>
    </row>
    <row r="31" spans="2:9" x14ac:dyDescent="0.3">
      <c r="B31" s="40" t="s">
        <v>31</v>
      </c>
      <c r="C31" s="41"/>
      <c r="D31" s="41"/>
      <c r="E31" s="41"/>
      <c r="F31" s="41"/>
      <c r="G31" s="41"/>
      <c r="H31" s="41"/>
      <c r="I31" s="42"/>
    </row>
    <row r="32" spans="2:9" x14ac:dyDescent="0.3">
      <c r="B32" s="40" t="s">
        <v>32</v>
      </c>
      <c r="C32" s="41"/>
      <c r="D32" s="41"/>
      <c r="E32" s="41"/>
      <c r="F32" s="41"/>
      <c r="G32" s="41"/>
      <c r="H32" s="41"/>
      <c r="I32" s="42"/>
    </row>
    <row r="33" spans="2:9" x14ac:dyDescent="0.3">
      <c r="B33" s="43" t="s">
        <v>33</v>
      </c>
      <c r="C33" s="41"/>
      <c r="D33" s="41"/>
      <c r="E33" s="41"/>
      <c r="F33" s="41"/>
      <c r="G33" s="41"/>
      <c r="H33" s="41"/>
      <c r="I33" s="42"/>
    </row>
    <row r="34" spans="2:9" x14ac:dyDescent="0.3">
      <c r="B34" s="43" t="s">
        <v>40</v>
      </c>
      <c r="C34" s="41"/>
      <c r="D34" s="41"/>
      <c r="E34" s="41"/>
      <c r="F34" s="41"/>
      <c r="G34" s="41"/>
      <c r="H34" s="41"/>
      <c r="I34" s="42"/>
    </row>
    <row r="35" spans="2:9" x14ac:dyDescent="0.3">
      <c r="B35" s="44" t="s">
        <v>34</v>
      </c>
      <c r="C35" s="45"/>
      <c r="D35" s="45"/>
      <c r="E35" s="45"/>
      <c r="F35" s="45"/>
      <c r="G35" s="45"/>
      <c r="H35" s="45"/>
      <c r="I35" s="46"/>
    </row>
  </sheetData>
  <sheetProtection algorithmName="SHA-512" hashValue="hLd2jfkon7UE37NzlsvNq0s2+cVk7uh4w4SGSiu5nauplQzzImh0det8hDjqaw94QDhS6eSGlInb8OP+Rq5ADQ==" saltValue="S/FNYCbBmqu6MzKlJZzo3w==" spinCount="100000" sheet="1" objects="1" scenarios="1"/>
  <protectedRanges>
    <protectedRange sqref="C3 C9:C10 C13:C14" name="Bereik1"/>
  </protectedRanges>
  <dataValidations count="2">
    <dataValidation type="list" allowBlank="1" showInputMessage="1" showErrorMessage="1" sqref="C9">
      <formula1>"Nee, Ja 50%, Ja 100%"</formula1>
    </dataValidation>
    <dataValidation type="list" allowBlank="1" showInputMessage="1" showErrorMessage="1" sqref="C10">
      <formula1>"Nee, AOW_gehuwd, 2xAOW_gehuwd"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J33" sqref="J33"/>
    </sheetView>
  </sheetViews>
  <sheetFormatPr defaultRowHeight="14.4" x14ac:dyDescent="0.3"/>
  <cols>
    <col min="1" max="1" width="9.5546875" customWidth="1"/>
    <col min="2" max="2" width="12.88671875" customWidth="1"/>
    <col min="3" max="3" width="13.33203125" customWidth="1"/>
    <col min="6" max="6" width="12.44140625" customWidth="1"/>
    <col min="7" max="7" width="13.109375" customWidth="1"/>
    <col min="9" max="9" width="9.44140625" bestFit="1" customWidth="1"/>
    <col min="10" max="10" width="13.44140625" customWidth="1"/>
    <col min="11" max="11" width="12.109375" customWidth="1"/>
  </cols>
  <sheetData>
    <row r="1" spans="1:11" x14ac:dyDescent="0.3">
      <c r="A1" s="1" t="s">
        <v>0</v>
      </c>
      <c r="B1" s="1"/>
      <c r="E1" s="1" t="s">
        <v>1</v>
      </c>
      <c r="F1" s="1"/>
      <c r="I1" s="1" t="s">
        <v>2</v>
      </c>
      <c r="J1" s="1"/>
    </row>
    <row r="2" spans="1:11" x14ac:dyDescent="0.3">
      <c r="A2" t="s">
        <v>3</v>
      </c>
      <c r="B2" t="s">
        <v>4</v>
      </c>
      <c r="C2" s="2" t="s">
        <v>5</v>
      </c>
      <c r="E2" t="s">
        <v>3</v>
      </c>
      <c r="F2" t="s">
        <v>4</v>
      </c>
      <c r="G2" t="s">
        <v>5</v>
      </c>
      <c r="I2" t="s">
        <v>3</v>
      </c>
      <c r="J2" t="s">
        <v>4</v>
      </c>
      <c r="K2" t="s">
        <v>5</v>
      </c>
    </row>
    <row r="3" spans="1:11" x14ac:dyDescent="0.3">
      <c r="A3">
        <v>55</v>
      </c>
      <c r="B3" s="3">
        <v>0.58160000000000001</v>
      </c>
      <c r="C3" s="4">
        <v>0.53190000000000004</v>
      </c>
      <c r="E3">
        <v>55</v>
      </c>
      <c r="F3" s="3">
        <v>0.22800000000000001</v>
      </c>
      <c r="G3" s="4">
        <v>0.1893</v>
      </c>
      <c r="I3">
        <v>57</v>
      </c>
      <c r="J3" s="5">
        <v>2.8906999999999998</v>
      </c>
      <c r="K3" s="5">
        <v>2.5674999999999999</v>
      </c>
    </row>
    <row r="4" spans="1:11" x14ac:dyDescent="0.3">
      <c r="A4">
        <v>56</v>
      </c>
      <c r="B4" s="3">
        <v>0.60070000000000001</v>
      </c>
      <c r="C4" s="4">
        <v>0.55320000000000003</v>
      </c>
      <c r="E4">
        <v>56</v>
      </c>
      <c r="F4" s="3">
        <v>0.23530000000000001</v>
      </c>
      <c r="G4" s="4">
        <v>0.1966</v>
      </c>
      <c r="I4">
        <v>58</v>
      </c>
      <c r="J4" s="5">
        <v>3.1</v>
      </c>
      <c r="K4" s="5">
        <v>2.7521</v>
      </c>
    </row>
    <row r="5" spans="1:11" x14ac:dyDescent="0.3">
      <c r="A5">
        <v>57</v>
      </c>
      <c r="B5" s="3">
        <v>0.62129999999999996</v>
      </c>
      <c r="C5" s="4">
        <v>0.57599999999999996</v>
      </c>
      <c r="E5">
        <v>57</v>
      </c>
      <c r="F5" s="3">
        <v>0.24279999999999999</v>
      </c>
      <c r="G5" s="4">
        <v>0.2041</v>
      </c>
      <c r="I5">
        <v>59</v>
      </c>
      <c r="J5" s="5">
        <v>3.3620000000000001</v>
      </c>
      <c r="K5" s="5">
        <v>2.9830000000000001</v>
      </c>
    </row>
    <row r="6" spans="1:11" x14ac:dyDescent="0.3">
      <c r="A6">
        <v>58</v>
      </c>
      <c r="B6" s="3">
        <v>0.64329999999999998</v>
      </c>
      <c r="C6" s="4">
        <v>0.60050000000000003</v>
      </c>
      <c r="E6">
        <v>58</v>
      </c>
      <c r="F6" s="3">
        <v>0.25059999999999999</v>
      </c>
      <c r="G6" s="4">
        <v>0.21199999999999999</v>
      </c>
      <c r="I6">
        <v>60</v>
      </c>
      <c r="J6" s="5">
        <v>3.6991999999999998</v>
      </c>
      <c r="K6" s="5">
        <v>3.2804000000000002</v>
      </c>
    </row>
    <row r="7" spans="1:11" x14ac:dyDescent="0.3">
      <c r="A7">
        <v>59</v>
      </c>
      <c r="B7" s="3">
        <v>0.66700000000000004</v>
      </c>
      <c r="C7" s="4">
        <v>0.62680000000000002</v>
      </c>
      <c r="E7">
        <v>59</v>
      </c>
      <c r="F7" s="3">
        <v>0.25879999999999997</v>
      </c>
      <c r="G7" s="4">
        <v>0.22020000000000001</v>
      </c>
      <c r="I7">
        <v>61</v>
      </c>
      <c r="J7" s="5">
        <v>4.1494999999999997</v>
      </c>
      <c r="K7" s="5">
        <v>3.6774</v>
      </c>
    </row>
    <row r="8" spans="1:11" x14ac:dyDescent="0.3">
      <c r="A8">
        <v>60</v>
      </c>
      <c r="B8" s="3">
        <v>0.69259999999999999</v>
      </c>
      <c r="C8" s="4">
        <v>0.65529999999999999</v>
      </c>
      <c r="E8">
        <v>60</v>
      </c>
      <c r="F8" s="3">
        <v>0.26729999999999998</v>
      </c>
      <c r="G8" s="4">
        <v>0.22889999999999999</v>
      </c>
      <c r="I8">
        <v>62</v>
      </c>
      <c r="J8" s="5">
        <v>4.7805999999999997</v>
      </c>
      <c r="K8" s="5">
        <v>4.2339000000000002</v>
      </c>
    </row>
    <row r="9" spans="1:11" x14ac:dyDescent="0.3">
      <c r="A9">
        <v>61</v>
      </c>
      <c r="B9" s="3">
        <v>0.72030000000000005</v>
      </c>
      <c r="C9" s="4">
        <v>0.68620000000000003</v>
      </c>
      <c r="E9">
        <v>61</v>
      </c>
      <c r="F9" s="3">
        <v>0.27610000000000001</v>
      </c>
      <c r="G9" s="4">
        <v>0.23780000000000001</v>
      </c>
      <c r="I9">
        <v>63</v>
      </c>
      <c r="J9" s="5">
        <v>5.7283999999999997</v>
      </c>
      <c r="K9" s="5">
        <v>5.0694999999999997</v>
      </c>
    </row>
    <row r="10" spans="1:11" x14ac:dyDescent="0.3">
      <c r="A10">
        <v>62</v>
      </c>
      <c r="B10" s="3">
        <v>0.75039999999999996</v>
      </c>
      <c r="C10" s="4">
        <v>0.71970000000000001</v>
      </c>
      <c r="E10">
        <v>62</v>
      </c>
      <c r="F10" s="3">
        <v>0.28520000000000001</v>
      </c>
      <c r="G10" s="4">
        <v>0.2472</v>
      </c>
      <c r="I10">
        <v>64</v>
      </c>
      <c r="J10" s="5">
        <v>7.3097000000000003</v>
      </c>
      <c r="K10" s="5">
        <v>6.4637000000000002</v>
      </c>
    </row>
    <row r="11" spans="1:11" x14ac:dyDescent="0.3">
      <c r="A11">
        <v>63</v>
      </c>
      <c r="B11" s="3">
        <v>0.78300000000000003</v>
      </c>
      <c r="C11" s="4">
        <v>0.75619999999999998</v>
      </c>
      <c r="E11">
        <v>63</v>
      </c>
      <c r="F11" s="3">
        <v>0.29470000000000002</v>
      </c>
      <c r="G11" s="4">
        <v>0.25700000000000001</v>
      </c>
      <c r="I11">
        <v>65</v>
      </c>
      <c r="J11" s="5">
        <v>10.4749</v>
      </c>
      <c r="K11" s="5">
        <v>9.2542000000000009</v>
      </c>
    </row>
    <row r="12" spans="1:11" x14ac:dyDescent="0.3">
      <c r="A12">
        <v>64</v>
      </c>
      <c r="B12" s="3">
        <v>0.81859999999999999</v>
      </c>
      <c r="C12" s="4">
        <v>0.79610000000000003</v>
      </c>
      <c r="E12">
        <v>64</v>
      </c>
      <c r="F12" s="3">
        <v>0.30459999999999998</v>
      </c>
      <c r="G12" s="4">
        <v>0.26719999999999999</v>
      </c>
      <c r="I12">
        <v>66</v>
      </c>
      <c r="J12" s="5">
        <v>19.976299999999998</v>
      </c>
      <c r="K12" s="5">
        <v>17.6311</v>
      </c>
    </row>
    <row r="13" spans="1:11" x14ac:dyDescent="0.3">
      <c r="A13">
        <v>65</v>
      </c>
      <c r="B13" s="3">
        <v>0.85770000000000002</v>
      </c>
      <c r="C13" s="4">
        <v>0.83979999999999999</v>
      </c>
      <c r="E13">
        <v>65</v>
      </c>
      <c r="F13" s="3">
        <v>0.31480000000000002</v>
      </c>
      <c r="G13" s="4">
        <v>0.27779999999999999</v>
      </c>
      <c r="I13" s="5">
        <v>66.083333333333329</v>
      </c>
      <c r="J13" s="5">
        <v>21.7148</v>
      </c>
      <c r="K13" s="5">
        <v>19.172799999999999</v>
      </c>
    </row>
    <row r="14" spans="1:11" x14ac:dyDescent="0.3">
      <c r="A14">
        <v>66</v>
      </c>
      <c r="B14" s="3">
        <v>0.90049999999999997</v>
      </c>
      <c r="C14" s="4">
        <v>0.88790000000000002</v>
      </c>
      <c r="E14">
        <v>66</v>
      </c>
      <c r="F14" s="3">
        <v>0.32550000000000001</v>
      </c>
      <c r="G14" s="4">
        <v>0.28889999999999999</v>
      </c>
      <c r="I14" s="5">
        <v>66.166666666666671</v>
      </c>
      <c r="J14" s="5">
        <v>23.800999999999998</v>
      </c>
      <c r="K14" s="5">
        <v>21.0228</v>
      </c>
    </row>
    <row r="15" spans="1:11" x14ac:dyDescent="0.3">
      <c r="A15">
        <v>67</v>
      </c>
      <c r="B15" s="3">
        <v>0.94769999999999999</v>
      </c>
      <c r="C15" s="4">
        <v>0.94110000000000005</v>
      </c>
      <c r="E15">
        <v>67</v>
      </c>
      <c r="F15" s="3">
        <v>0.33650000000000002</v>
      </c>
      <c r="G15" s="4">
        <v>0.3004</v>
      </c>
      <c r="I15" s="5">
        <v>66.25</v>
      </c>
      <c r="J15" s="5">
        <v>26.3507</v>
      </c>
      <c r="K15" s="5">
        <v>23.283999999999999</v>
      </c>
    </row>
    <row r="16" spans="1:11" x14ac:dyDescent="0.3">
      <c r="A16">
        <v>68</v>
      </c>
      <c r="B16" s="3">
        <v>1</v>
      </c>
      <c r="C16" s="4">
        <v>1</v>
      </c>
      <c r="E16">
        <v>68</v>
      </c>
      <c r="F16" s="3">
        <v>0.3473</v>
      </c>
      <c r="G16" s="4">
        <v>0.31190000000000001</v>
      </c>
      <c r="I16" s="5">
        <v>66.333333333333329</v>
      </c>
      <c r="J16" s="5">
        <v>29.5379</v>
      </c>
      <c r="K16" s="5">
        <v>26.110399999999998</v>
      </c>
    </row>
    <row r="17" spans="9:11" x14ac:dyDescent="0.3">
      <c r="I17" s="5">
        <v>66.416666666666671</v>
      </c>
      <c r="J17" s="5">
        <v>33.635800000000003</v>
      </c>
      <c r="K17" s="5">
        <v>29.744499999999999</v>
      </c>
    </row>
    <row r="18" spans="9:11" x14ac:dyDescent="0.3">
      <c r="I18" s="5">
        <v>66.5</v>
      </c>
      <c r="J18" s="5">
        <v>39.099499999999999</v>
      </c>
      <c r="K18" s="5">
        <v>34.589799999999997</v>
      </c>
    </row>
    <row r="19" spans="9:11" x14ac:dyDescent="0.3">
      <c r="I19" s="5">
        <v>66.583333333333329</v>
      </c>
      <c r="J19" s="5">
        <v>46.748800000000003</v>
      </c>
      <c r="K19" s="5">
        <v>41.3733</v>
      </c>
    </row>
    <row r="20" spans="9:11" x14ac:dyDescent="0.3">
      <c r="I20" s="5">
        <v>66.666666666666671</v>
      </c>
      <c r="J20" s="5">
        <v>58.222700000000003</v>
      </c>
      <c r="K20" s="5">
        <v>51.5486</v>
      </c>
    </row>
    <row r="21" spans="9:11" x14ac:dyDescent="0.3">
      <c r="I21" s="5">
        <v>66.75</v>
      </c>
      <c r="J21" s="5">
        <v>77.3459</v>
      </c>
      <c r="K21" s="5">
        <v>68.507300000000001</v>
      </c>
    </row>
    <row r="22" spans="9:11" x14ac:dyDescent="0.3">
      <c r="I22" s="5">
        <v>66.833333333333329</v>
      </c>
      <c r="J22" s="5">
        <v>115.59229999999999</v>
      </c>
      <c r="K22" s="5">
        <v>102.4248</v>
      </c>
    </row>
    <row r="23" spans="9:11" x14ac:dyDescent="0.3">
      <c r="I23" s="5">
        <v>66.916666666666671</v>
      </c>
      <c r="J23" s="5">
        <v>230.33150000000001</v>
      </c>
      <c r="K23" s="5">
        <v>204.17740000000001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Vergelijker ruilvoeten 23-24</vt:lpstr>
      <vt:lpstr>Blad2</vt:lpstr>
    </vt:vector>
  </TitlesOfParts>
  <Company>MMC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Huiskes, Bas</dc:creator>
  <cp:lastModifiedBy>Smits, Diane</cp:lastModifiedBy>
  <dcterms:created xsi:type="dcterms:W3CDTF">2023-05-24T13:44:28Z</dcterms:created>
  <dcterms:modified xsi:type="dcterms:W3CDTF">2023-06-05T07:23:07Z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f1469a-2c2a-4aee-b92b-090d4c5468ff_Enabled">
    <vt:lpwstr>true</vt:lpwstr>
  </property>
  <property fmtid="{D5CDD505-2E9C-101B-9397-08002B2CF9AE}" pid="3" name="MSIP_Label_38f1469a-2c2a-4aee-b92b-090d4c5468ff_SetDate">
    <vt:lpwstr>2023-05-24T13:44:29Z</vt:lpwstr>
  </property>
  <property fmtid="{D5CDD505-2E9C-101B-9397-08002B2CF9AE}" pid="4" name="MSIP_Label_38f1469a-2c2a-4aee-b92b-090d4c5468ff_Method">
    <vt:lpwstr>Standard</vt:lpwstr>
  </property>
  <property fmtid="{D5CDD505-2E9C-101B-9397-08002B2CF9AE}" pid="5" name="MSIP_Label_38f1469a-2c2a-4aee-b92b-090d4c5468ff_Name">
    <vt:lpwstr>Confidential - Unmarked</vt:lpwstr>
  </property>
  <property fmtid="{D5CDD505-2E9C-101B-9397-08002B2CF9AE}" pid="6" name="MSIP_Label_38f1469a-2c2a-4aee-b92b-090d4c5468ff_SiteId">
    <vt:lpwstr>2a6e6092-73e4-4752-b1a5-477a17f5056d</vt:lpwstr>
  </property>
  <property fmtid="{D5CDD505-2E9C-101B-9397-08002B2CF9AE}" pid="7" name="MSIP_Label_38f1469a-2c2a-4aee-b92b-090d4c5468ff_ActionId">
    <vt:lpwstr>83739749-7e54-4759-9d56-7d19c3e978bd</vt:lpwstr>
  </property>
  <property fmtid="{D5CDD505-2E9C-101B-9397-08002B2CF9AE}" pid="8" name="MSIP_Label_38f1469a-2c2a-4aee-b92b-090d4c5468ff_ContentBits">
    <vt:lpwstr>0</vt:lpwstr>
  </property>
  <property fmtid="{D5CDD505-2E9C-101B-9397-08002B2CF9AE}" pid="9" name="_NewReviewCycle">
    <vt:lpwstr/>
  </property>
</Properties>
</file>