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xxonMobil OFP\02 Fondsdocumenten - LEG1010 IND ACT +10\02 Pensioen reglementen\NL Section\2024\flexfactoren\"/>
    </mc:Choice>
  </mc:AlternateContent>
  <bookViews>
    <workbookView xWindow="0" yWindow="0" windowWidth="25200" windowHeight="11556"/>
  </bookViews>
  <sheets>
    <sheet name="Vergelijker ruilvoeten 23-24" sheetId="1" r:id="rId1"/>
    <sheet name="Factoren" sheetId="2" state="hidden" r:id="rId2"/>
  </sheets>
  <definedNames>
    <definedName name="AOWcomp">Factoren!$I$2:$K$23</definedName>
    <definedName name="AOWComp2">Factoren!$M$2:$O$26</definedName>
    <definedName name="Uitruil">Factoren!$E$2:$G$16</definedName>
    <definedName name="Vervroegen">Factoren!$A$2:$C$16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R6" i="2"/>
  <c r="Q6" i="2"/>
  <c r="R7" i="2"/>
  <c r="F10" i="1"/>
  <c r="D24" i="1" l="1"/>
  <c r="D19" i="1"/>
  <c r="D23" i="1" l="1"/>
  <c r="D18" i="1"/>
  <c r="E18" i="1"/>
  <c r="F18" i="1" s="1"/>
  <c r="E4" i="1"/>
  <c r="D4" i="1"/>
  <c r="D10" i="1" s="1"/>
  <c r="G22" i="1" l="1"/>
  <c r="C8" i="1"/>
  <c r="E23" i="1"/>
  <c r="F23" i="1" s="1"/>
  <c r="G23" i="1" s="1"/>
  <c r="D9" i="1"/>
  <c r="D5" i="1"/>
  <c r="E5" i="1"/>
  <c r="G18" i="1" s="1"/>
  <c r="D8" i="1"/>
  <c r="G17" i="1"/>
  <c r="E10" i="1" l="1"/>
  <c r="E8" i="1"/>
  <c r="C22" i="1" s="1"/>
  <c r="E9" i="1"/>
  <c r="C19" i="1"/>
  <c r="E19" i="1" s="1"/>
  <c r="F19" i="1" s="1"/>
  <c r="C24" i="1"/>
  <c r="E24" i="1" s="1"/>
  <c r="F24" i="1" s="1"/>
  <c r="C17" i="1"/>
  <c r="C18" i="1"/>
  <c r="C23" i="1"/>
  <c r="C6" i="1"/>
  <c r="D17" i="1" l="1"/>
  <c r="E17" i="1" s="1"/>
  <c r="D22" i="1"/>
  <c r="E22" i="1" s="1"/>
  <c r="F22" i="1" l="1"/>
  <c r="F17" i="1"/>
</calcChain>
</file>

<file path=xl/sharedStrings.xml><?xml version="1.0" encoding="utf-8"?>
<sst xmlns="http://schemas.openxmlformats.org/spreadsheetml/2006/main" count="66" uniqueCount="48">
  <si>
    <t>Vervroegen</t>
  </si>
  <si>
    <t>Uitruil PP in OP</t>
  </si>
  <si>
    <t>AOW-compensatie</t>
  </si>
  <si>
    <t>Leeftijd</t>
  </si>
  <si>
    <t>Ruilvoet 2022</t>
  </si>
  <si>
    <t>Ruilvoet 2024</t>
  </si>
  <si>
    <t>Vergelijker ruilvoeten 2023-2024 ExxonMobil OFP</t>
  </si>
  <si>
    <t>Lft pensioendatum</t>
  </si>
  <si>
    <t>AOW-leeftijd</t>
  </si>
  <si>
    <t>Legenda</t>
  </si>
  <si>
    <t>Ruilvoeten 2023</t>
  </si>
  <si>
    <t>Invoervelden (zelf invullen)</t>
  </si>
  <si>
    <t>Ruilvoeten 2024 (voorlopig)</t>
  </si>
  <si>
    <t>Resultaat van de berekening</t>
  </si>
  <si>
    <t>Keuzes:</t>
  </si>
  <si>
    <t>Pens.datum 1</t>
  </si>
  <si>
    <t>Pens.datum 2</t>
  </si>
  <si>
    <t>Toelichting</t>
  </si>
  <si>
    <t>Uitruil PP voor extra OP</t>
  </si>
  <si>
    <t>Uitruil OP voor OVP</t>
  </si>
  <si>
    <t>Bedrag AOW-compensatie</t>
  </si>
  <si>
    <t>Uitgangssituatie:</t>
  </si>
  <si>
    <t>Opgebouwd Ouderdomspensioen</t>
  </si>
  <si>
    <t>Opgebouwd Partnerpensioen</t>
  </si>
  <si>
    <t>Ouderdomspensioen</t>
  </si>
  <si>
    <t>Partnerpensioen</t>
  </si>
  <si>
    <t>Ruilvoeten 2024</t>
  </si>
  <si>
    <t>Disclaimer:</t>
  </si>
  <si>
    <t>-   Dit is een indicatieve berekening om het effect van de wijziging van de ruilvoeten 2023 en 2024 inzichtelijk te maken.</t>
  </si>
  <si>
    <t>-   Er kunnen aan deze berekening geen rechten worden ontleend.</t>
  </si>
  <si>
    <t>-   Indien u besluit om uiterlijk 1-1-2024 met pensioen te gaan worden de opgebouwde pensioenen uitgeruild op basis van de ruilvoeten 2023.</t>
  </si>
  <si>
    <t xml:space="preserve">-   Indien u na 1-1-2024 met pensioen gaat worden de opgebouwde pensioenen uitgeruild op basis van de ruilvoeten 2024. Dit leidt tot een </t>
  </si>
  <si>
    <t xml:space="preserve">     lagere uitgeruilde aanspraak dan op basis van de ruilvoeten 2023 kan worden verkregen, maar u bouwt dan wel langer pensioen op, ontvangt</t>
  </si>
  <si>
    <t>-   In beide gevallen wordt gerekend met de leeftijd per 1 januari 2024.</t>
  </si>
  <si>
    <t>Let op: U dient de op dit moment opgebouwde bedragen in te vullen, niet de in uitzicht gestelde bedragen</t>
  </si>
  <si>
    <t>op pensioenleeftijd. Deze bedragen kunt u vinden op uw laatste UPO of op www.mijnpensioenoverzicht.nl</t>
  </si>
  <si>
    <t>Rekenvelden (automatisch ingevuld)</t>
  </si>
  <si>
    <t>Geboortedatum (mnd/dag/jr)</t>
  </si>
  <si>
    <t xml:space="preserve">     langer salaris en bij ingang na 1 mei 2024 heeft u ook nog recht op de indexatie op basis van de maatstaf van de actieven.</t>
  </si>
  <si>
    <t>Na toepassing keuzes</t>
  </si>
  <si>
    <t>Na toepassen keuzes</t>
  </si>
  <si>
    <t>Uitruil partnerpensioen (PP) voor extra ouderdomspensioen (OP)</t>
  </si>
  <si>
    <t>Uitruil ouderdomspensioen (PP) voor overbruggingspensioen (OVP)</t>
  </si>
  <si>
    <t>Ja</t>
  </si>
  <si>
    <t>2xAOW_gehuwd</t>
  </si>
  <si>
    <t>AOW-compensatie (eindlft 67)</t>
  </si>
  <si>
    <t>AOW-compensatie (tot 67,25 jr)</t>
  </si>
  <si>
    <t>-   De ruilvoeten 2024 zijn definitief na akkoord van de Raad van Bestuur; deze zijn vastgesteld o.b.v. rente per 30 september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</si>
</sst>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6" fillId="0" borderId="0" xfId="0" applyFont="1"/>
    <xf numFmtId="10" fontId="0" fillId="0" borderId="0" xfId="1" applyNumberFormat="1" applyFont="1"/>
    <xf numFmtId="10" fontId="6" fillId="0" borderId="0" xfId="1" applyNumberFormat="1" applyFont="1"/>
    <xf numFmtId="164" fontId="0" fillId="0" borderId="0" xfId="0" applyNumberFormat="1"/>
    <xf numFmtId="14" fontId="0" fillId="2" borderId="0" xfId="0" applyNumberFormat="1" applyFill="1"/>
    <xf numFmtId="0" fontId="3" fillId="0" borderId="0" xfId="0" applyFont="1"/>
    <xf numFmtId="0" fontId="5" fillId="0" borderId="1" xfId="0" applyFont="1" applyBorder="1"/>
    <xf numFmtId="0" fontId="0" fillId="0" borderId="2" xfId="0" applyBorder="1"/>
    <xf numFmtId="14" fontId="0" fillId="3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7" fillId="3" borderId="3" xfId="0" applyFont="1" applyFill="1" applyBorder="1"/>
    <xf numFmtId="0" fontId="0" fillId="3" borderId="4" xfId="0" applyFill="1" applyBorder="1"/>
    <xf numFmtId="0" fontId="8" fillId="0" borderId="0" xfId="0" applyFont="1"/>
    <xf numFmtId="0" fontId="2" fillId="0" borderId="0" xfId="0" applyFont="1"/>
    <xf numFmtId="0" fontId="0" fillId="0" borderId="0" xfId="0" applyFont="1"/>
    <xf numFmtId="164" fontId="4" fillId="0" borderId="0" xfId="0" applyNumberFormat="1" applyFont="1"/>
    <xf numFmtId="4" fontId="0" fillId="3" borderId="0" xfId="0" applyNumberFormat="1" applyFill="1"/>
    <xf numFmtId="0" fontId="8" fillId="0" borderId="0" xfId="0" applyFont="1" applyFill="1"/>
    <xf numFmtId="0" fontId="0" fillId="0" borderId="0" xfId="0" applyFill="1"/>
    <xf numFmtId="4" fontId="0" fillId="2" borderId="0" xfId="0" applyNumberFormat="1" applyFill="1"/>
    <xf numFmtId="0" fontId="3" fillId="0" borderId="8" xfId="0" applyFont="1" applyBorder="1"/>
    <xf numFmtId="0" fontId="0" fillId="0" borderId="8" xfId="0" applyBorder="1"/>
    <xf numFmtId="0" fontId="0" fillId="0" borderId="10" xfId="0" applyBorder="1"/>
    <xf numFmtId="0" fontId="3" fillId="0" borderId="3" xfId="0" applyFont="1" applyBorder="1"/>
    <xf numFmtId="4" fontId="0" fillId="0" borderId="0" xfId="0" applyNumberFormat="1" applyBorder="1"/>
    <xf numFmtId="0" fontId="0" fillId="0" borderId="0" xfId="0" applyBorder="1"/>
    <xf numFmtId="0" fontId="0" fillId="0" borderId="4" xfId="0" applyBorder="1"/>
    <xf numFmtId="0" fontId="3" fillId="0" borderId="5" xfId="0" applyFont="1" applyBorder="1"/>
    <xf numFmtId="4" fontId="0" fillId="0" borderId="12" xfId="0" applyNumberFormat="1" applyBorder="1"/>
    <xf numFmtId="0" fontId="0" fillId="0" borderId="12" xfId="0" applyBorder="1"/>
    <xf numFmtId="0" fontId="0" fillId="0" borderId="6" xfId="0" applyBorder="1"/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3" xfId="0" quotePrefix="1" applyFont="1" applyFill="1" applyBorder="1" applyAlignment="1">
      <alignment horizontal="left" vertical="center"/>
    </xf>
    <xf numFmtId="0" fontId="8" fillId="4" borderId="0" xfId="0" applyFont="1" applyFill="1" applyBorder="1"/>
    <xf numFmtId="0" fontId="8" fillId="4" borderId="4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8" fillId="4" borderId="5" xfId="0" quotePrefix="1" applyFont="1" applyFill="1" applyBorder="1" applyAlignment="1">
      <alignment horizontal="left" vertical="center"/>
    </xf>
    <xf numFmtId="0" fontId="8" fillId="4" borderId="12" xfId="0" applyFont="1" applyFill="1" applyBorder="1"/>
    <xf numFmtId="0" fontId="8" fillId="4" borderId="6" xfId="0" applyFont="1" applyFill="1" applyBorder="1"/>
    <xf numFmtId="0" fontId="5" fillId="5" borderId="7" xfId="0" applyFont="1" applyFill="1" applyBorder="1"/>
    <xf numFmtId="0" fontId="3" fillId="5" borderId="9" xfId="0" applyFont="1" applyFill="1" applyBorder="1"/>
    <xf numFmtId="4" fontId="0" fillId="5" borderId="11" xfId="0" applyNumberFormat="1" applyFill="1" applyBorder="1"/>
    <xf numFmtId="4" fontId="0" fillId="5" borderId="13" xfId="0" applyNumberFormat="1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5" xfId="0" applyFill="1" applyBorder="1"/>
    <xf numFmtId="0" fontId="0" fillId="4" borderId="12" xfId="0" applyFill="1" applyBorder="1"/>
    <xf numFmtId="0" fontId="0" fillId="4" borderId="6" xfId="0" applyFill="1" applyBorder="1"/>
    <xf numFmtId="4" fontId="0" fillId="0" borderId="0" xfId="0" applyNumberFormat="1"/>
    <xf numFmtId="2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workbookViewId="0">
      <selection activeCell="N21" sqref="N21"/>
    </sheetView>
  </sheetViews>
  <sheetFormatPr defaultRowHeight="14.4" x14ac:dyDescent="0.3"/>
  <cols>
    <col min="1" max="1" width="3.21875" customWidth="1"/>
    <col min="2" max="2" width="30.44140625" customWidth="1"/>
    <col min="3" max="3" width="15.77734375" customWidth="1"/>
    <col min="4" max="4" width="22.21875" customWidth="1"/>
    <col min="5" max="6" width="18.77734375" customWidth="1"/>
    <col min="7" max="8" width="13" customWidth="1"/>
    <col min="9" max="9" width="17.21875" customWidth="1"/>
  </cols>
  <sheetData>
    <row r="1" spans="2:9" x14ac:dyDescent="0.3">
      <c r="B1" s="1" t="s">
        <v>6</v>
      </c>
    </row>
    <row r="3" spans="2:9" x14ac:dyDescent="0.3">
      <c r="B3" t="s">
        <v>37</v>
      </c>
      <c r="C3" s="6">
        <v>23377</v>
      </c>
      <c r="D3" s="7" t="s">
        <v>7</v>
      </c>
      <c r="E3" s="7" t="s">
        <v>8</v>
      </c>
      <c r="H3" s="8" t="s">
        <v>9</v>
      </c>
      <c r="I3" s="9"/>
    </row>
    <row r="4" spans="2:9" x14ac:dyDescent="0.3">
      <c r="B4" t="s">
        <v>10</v>
      </c>
      <c r="C4" s="10">
        <v>45292</v>
      </c>
      <c r="D4" s="60">
        <f>YEAR(C4)-YEAR($C$3)+(MONTH(C4)-MONTH($C$3))/12</f>
        <v>60</v>
      </c>
      <c r="E4" s="60">
        <f>IF(C3&lt;20880,66+10/12,IF(C3&lt;22282,67,67+3/12))</f>
        <v>67.25</v>
      </c>
      <c r="H4" s="11" t="s">
        <v>11</v>
      </c>
      <c r="I4" s="12"/>
    </row>
    <row r="5" spans="2:9" x14ac:dyDescent="0.3">
      <c r="B5" t="s">
        <v>12</v>
      </c>
      <c r="C5" s="10">
        <v>45323</v>
      </c>
      <c r="D5" s="60">
        <f>D4</f>
        <v>60</v>
      </c>
      <c r="E5" s="60">
        <f>E4</f>
        <v>67.25</v>
      </c>
      <c r="H5" s="13" t="s">
        <v>36</v>
      </c>
      <c r="I5" s="14"/>
    </row>
    <row r="6" spans="2:9" x14ac:dyDescent="0.3">
      <c r="C6" s="15" t="str">
        <f>IF(AND(C10&lt;&gt;"Nee",OR(E4&lt;=D4,E5&lt;=D5)),"Lft pensioendatum groter of gelijk aan AOW-leeftijd, graag cel B10 op 'Nee' zetten!","")</f>
        <v/>
      </c>
      <c r="H6" s="51" t="s">
        <v>13</v>
      </c>
      <c r="I6" s="52"/>
    </row>
    <row r="7" spans="2:9" x14ac:dyDescent="0.3">
      <c r="B7" s="7" t="s">
        <v>14</v>
      </c>
      <c r="D7" s="16" t="s">
        <v>15</v>
      </c>
      <c r="E7" s="16" t="s">
        <v>16</v>
      </c>
      <c r="H7" s="56" t="s">
        <v>17</v>
      </c>
      <c r="I7" s="58"/>
    </row>
    <row r="8" spans="2:9" x14ac:dyDescent="0.3">
      <c r="B8" s="17" t="s">
        <v>0</v>
      </c>
      <c r="C8" s="36" t="str">
        <f>IF(D4&lt;68,"Ja","Nee")</f>
        <v>Ja</v>
      </c>
      <c r="D8" s="18">
        <f>($D$4-INT($D$4))*VLOOKUP(INT($D$4)+1,Vervroegen,2,FALSE)+(1-($D$4-INT($D$4)))*VLOOKUP(INT($D$4),Vervroegen,2,FALSE)</f>
        <v>0.69259999999999999</v>
      </c>
      <c r="E8" s="18">
        <f>($D$5-INT($D$5))*VLOOKUP(INT($D$5)+1,Vervroegen,3,FALSE)+(1-($D$5-INT($D$5)))*VLOOKUP(INT($D$5),Vervroegen,3,FALSE)</f>
        <v>0.65549999999999997</v>
      </c>
    </row>
    <row r="9" spans="2:9" ht="28.8" x14ac:dyDescent="0.3">
      <c r="B9" s="34" t="s">
        <v>41</v>
      </c>
      <c r="C9" s="35" t="s">
        <v>43</v>
      </c>
      <c r="D9" s="18">
        <f>($D$4-INT($D$4))*VLOOKUP(INT($D$4)+1,Uitruil,2,FALSE)+(1-($D$4-INT($D$4)))*VLOOKUP(INT($D$4),Uitruil,2,FALSE)</f>
        <v>0.26729999999999998</v>
      </c>
      <c r="E9" s="18">
        <f>($D$5-INT($D$5))*VLOOKUP(INT($D$5)+1,Uitruil,3,FALSE)+(1-($D$5-INT($D$5)))*VLOOKUP(INT($D$5),Uitruil,3,FALSE)</f>
        <v>0.2296</v>
      </c>
    </row>
    <row r="10" spans="2:9" ht="28.8" x14ac:dyDescent="0.3">
      <c r="B10" s="34" t="s">
        <v>42</v>
      </c>
      <c r="C10" s="35" t="s">
        <v>44</v>
      </c>
      <c r="D10" s="18">
        <f>IF(AND(D4&lt;66,E4=67),($D$4-INT($D$4))*VLOOKUP(INT($D$4)+1,AOWcomp,2,FALSE)+(1-($D$4-INT($D$4)))*VLOOKUP(INT($D$4),AOWcomp,2,FALSE),IF(AND(D4&lt;66,E4=67.25),($D$4-INT($D$4))*VLOOKUP(INT($D$4)+1,AOWComp2,2,FALSE)+(1-($D$4-INT($D$4)))*VLOOKUP(INT($D$4),AOWComp2,2,FALSE),IF(AND(D4&gt;=66,E4=67),VLOOKUP(D4,AOWcomp,2,FALSE),VLOOKUP(D4,AOWComp2,2,FALSE))))</f>
        <v>3.5767000000000002</v>
      </c>
      <c r="E10" s="18">
        <f>IF(AND(D5&lt;66,E5=67),($D$5-INT($D$5))*VLOOKUP(INT($D$5)+1,AOWcomp,3,FALSE)+(1-($D$5-INT($D$5)))*VLOOKUP(INT($D$5),AOWcomp,3,FALSE),IF(AND(D5&lt;66,E5=67.25),($D$5-INT($D$5))*VLOOKUP(INT($D$5)+1,AOWComp2,3,FALSE)+(1-($D$5-INT($D$5)))*VLOOKUP(INT($D$5),AOWComp2,3,FALSE),IF(AND(D5&gt;=66,E5=67),VLOOKUP(E5,AOWcomp,3,FALSE),VLOOKUP(E5,AOWComp2,3,FALSE))))</f>
        <v>3.1783000000000001</v>
      </c>
      <c r="F10" s="19">
        <f>IF(C10="Nee","",IF(C10="2xAOW_gehuwd",24482.64,IF(C10="AOW_gehuwd",12241.32)))</f>
        <v>24482.639999999999</v>
      </c>
      <c r="G10" t="s">
        <v>20</v>
      </c>
      <c r="H10" s="20"/>
      <c r="I10" s="21"/>
    </row>
    <row r="12" spans="2:9" x14ac:dyDescent="0.3">
      <c r="B12" s="7" t="s">
        <v>21</v>
      </c>
      <c r="D12" s="21"/>
    </row>
    <row r="13" spans="2:9" x14ac:dyDescent="0.3">
      <c r="B13" t="s">
        <v>22</v>
      </c>
      <c r="C13" s="22">
        <v>59000</v>
      </c>
      <c r="D13" s="53" t="s">
        <v>34</v>
      </c>
      <c r="E13" s="54"/>
      <c r="F13" s="54"/>
      <c r="G13" s="54"/>
      <c r="H13" s="54"/>
      <c r="I13" s="55"/>
    </row>
    <row r="14" spans="2:9" x14ac:dyDescent="0.3">
      <c r="B14" t="s">
        <v>23</v>
      </c>
      <c r="C14" s="22">
        <v>28000</v>
      </c>
      <c r="D14" s="56" t="s">
        <v>35</v>
      </c>
      <c r="E14" s="57"/>
      <c r="F14" s="57"/>
      <c r="G14" s="57"/>
      <c r="H14" s="57"/>
      <c r="I14" s="58"/>
    </row>
    <row r="16" spans="2:9" x14ac:dyDescent="0.3">
      <c r="B16" s="47" t="s">
        <v>10</v>
      </c>
      <c r="C16" s="23" t="s">
        <v>0</v>
      </c>
      <c r="D16" s="23" t="s">
        <v>18</v>
      </c>
      <c r="E16" s="23" t="s">
        <v>19</v>
      </c>
      <c r="F16" s="48" t="s">
        <v>39</v>
      </c>
      <c r="G16" s="24"/>
      <c r="H16" s="24"/>
      <c r="I16" s="25"/>
    </row>
    <row r="17" spans="2:12" x14ac:dyDescent="0.3">
      <c r="B17" s="26" t="s">
        <v>24</v>
      </c>
      <c r="C17" s="27">
        <f>IF(C8="Ja",ROUND(C13*D8,2),"nvt")</f>
        <v>40863.4</v>
      </c>
      <c r="D17" s="27">
        <f>IF(C9="Ja",IF(C17="nvt",C13,C17)+IF(C17="nvt",ROUND(C14*$D$9,2),ROUND(C19*$D$9,2)),"nvt")</f>
        <v>48347.8</v>
      </c>
      <c r="E17" s="27">
        <f>IF(C10="Nee","nvt",IF(C10&lt;&gt;"Nee",IF(D17&lt;&gt;"nvt",ROUND(D17-E18/D10,2),IF(C17&lt;&gt;"nvt",ROUND(C17-E18/D10,2)))))</f>
        <v>41502.76</v>
      </c>
      <c r="F17" s="49">
        <f>IF(E17&lt;&gt;"nvt",E17,IF(D17&lt;&gt;"nvt",D17,IF(C17&lt;&gt;"nvt",C17,C8)))</f>
        <v>41502.76</v>
      </c>
      <c r="G17" s="28" t="str">
        <f>"Ingaand op leeftijd "&amp;INT(D4)&amp;" en "&amp;ROUND((D4-INT(D4))*12,0)&amp;" maanden"</f>
        <v>Ingaand op leeftijd 60 en 0 maanden</v>
      </c>
      <c r="H17" s="28"/>
      <c r="I17" s="29"/>
      <c r="L17" s="59"/>
    </row>
    <row r="18" spans="2:12" x14ac:dyDescent="0.3">
      <c r="B18" s="26" t="s">
        <v>2</v>
      </c>
      <c r="C18" s="27">
        <f>IF(C8="Ja",0,"nvt")</f>
        <v>0</v>
      </c>
      <c r="D18" s="27">
        <f>IF(C9="Nee","nvt",0)</f>
        <v>0</v>
      </c>
      <c r="E18" s="27">
        <f>IF(C10&lt;&gt;"Nee",F10,"nvt")</f>
        <v>24482.639999999999</v>
      </c>
      <c r="F18" s="49">
        <f>IF(E18&lt;&gt;"nvt",E18,0)</f>
        <v>24482.639999999999</v>
      </c>
      <c r="G18" s="28" t="str">
        <f>IF(F18&gt;0,"Eindigend op leeftijd "&amp;INT(E5)&amp;" en "&amp;ROUND((E5-INT(E5))*12,0)&amp;" maanden","")</f>
        <v>Eindigend op leeftijd 67 en 3 maanden</v>
      </c>
      <c r="H18" s="28"/>
      <c r="I18" s="29"/>
    </row>
    <row r="19" spans="2:12" x14ac:dyDescent="0.3">
      <c r="B19" s="30" t="s">
        <v>25</v>
      </c>
      <c r="C19" s="31">
        <f>IF(C8="Ja",C14,"nvt")</f>
        <v>28000</v>
      </c>
      <c r="D19" s="31">
        <f>IF(C9="Ja",0,"nvt")</f>
        <v>0</v>
      </c>
      <c r="E19" s="31">
        <f>IF(C10&lt;&gt;"Nee",IF(D19&lt;&gt;"nvt",D19,IF(C19&lt;&gt;"nvt",C19,C14)),"nvt")</f>
        <v>0</v>
      </c>
      <c r="F19" s="50">
        <f>IF(E19&lt;&gt;"nvt",E19,IF(D19&lt;&gt;"nvt",D19,IF(C19&lt;&gt;"nvt",C19,C9)))</f>
        <v>0</v>
      </c>
      <c r="G19" s="32"/>
      <c r="H19" s="32"/>
      <c r="I19" s="33"/>
    </row>
    <row r="21" spans="2:12" x14ac:dyDescent="0.3">
      <c r="B21" s="47" t="s">
        <v>26</v>
      </c>
      <c r="C21" s="23" t="s">
        <v>0</v>
      </c>
      <c r="D21" s="23" t="s">
        <v>18</v>
      </c>
      <c r="E21" s="23" t="s">
        <v>19</v>
      </c>
      <c r="F21" s="48" t="s">
        <v>40</v>
      </c>
      <c r="G21" s="24"/>
      <c r="H21" s="24"/>
      <c r="I21" s="25"/>
    </row>
    <row r="22" spans="2:12" x14ac:dyDescent="0.3">
      <c r="B22" s="26" t="s">
        <v>24</v>
      </c>
      <c r="C22" s="27">
        <f>IF(C8="Ja",ROUND(C13*E8,2),"nvt")</f>
        <v>38674.5</v>
      </c>
      <c r="D22" s="27">
        <f>IF(C9="Ja",IF(C22="nvt",C13,C22)+IF(C22="nvt",ROUND(C14*$E$9,2),ROUND(C24*$E$9,2)),"nvt")</f>
        <v>45103.3</v>
      </c>
      <c r="E22" s="27">
        <f>IF(C10="Nee","nvt",IF(C10&lt;&gt;"Nee",IF(D22&lt;&gt;"nvt",ROUND(D22-E23/E10,2),IF(C22&lt;&gt;"nvt",ROUND(C22-E23/E10,2)))))</f>
        <v>37400.239999999998</v>
      </c>
      <c r="F22" s="49">
        <f>IF(E22&lt;&gt;"nvt",E22,IF(D22&lt;&gt;"nvt",D22,IF(C22&lt;&gt;"nvt",C22,C13)))</f>
        <v>37400.239999999998</v>
      </c>
      <c r="G22" s="28" t="str">
        <f>"Ingaand op leeftijd "&amp;INT(D4)&amp;" en "&amp;ROUND((D4-INT(D4))*12,0)&amp;" maanden"</f>
        <v>Ingaand op leeftijd 60 en 0 maanden</v>
      </c>
      <c r="H22" s="28"/>
      <c r="I22" s="29"/>
      <c r="L22" s="59"/>
    </row>
    <row r="23" spans="2:12" x14ac:dyDescent="0.3">
      <c r="B23" s="26" t="s">
        <v>2</v>
      </c>
      <c r="C23" s="27">
        <f>IF(C8="Ja",0,"nvt")</f>
        <v>0</v>
      </c>
      <c r="D23" s="27">
        <f>IF(C9="Nee","nvt",0)</f>
        <v>0</v>
      </c>
      <c r="E23" s="27">
        <f>IF(C10&lt;&gt;"Nee",F10,"nvt")</f>
        <v>24482.639999999999</v>
      </c>
      <c r="F23" s="49">
        <f>IF(E23&lt;&gt;"nvt",E23,0)</f>
        <v>24482.639999999999</v>
      </c>
      <c r="G23" s="28" t="str">
        <f>IF(F23&gt;0,"Eindigend op leeftijd "&amp;INT(E4)&amp;" en "&amp;ROUND((E4-INT(E4))*12,0)&amp;" maanden","")</f>
        <v>Eindigend op leeftijd 67 en 3 maanden</v>
      </c>
      <c r="H23" s="28"/>
      <c r="I23" s="29"/>
    </row>
    <row r="24" spans="2:12" x14ac:dyDescent="0.3">
      <c r="B24" s="30" t="s">
        <v>25</v>
      </c>
      <c r="C24" s="31">
        <f>IF(C8="Ja",C14,"nvt")</f>
        <v>28000</v>
      </c>
      <c r="D24" s="31">
        <f>IF(C9="Ja",0,"nvt")</f>
        <v>0</v>
      </c>
      <c r="E24" s="31">
        <f>IF(C10&lt;&gt;"Nee",IF(D24&lt;&gt;"nvt",D24,IF(C24&lt;&gt;"nvt",C24,C14)),"nvt")</f>
        <v>0</v>
      </c>
      <c r="F24" s="50">
        <f>IF(E24&lt;&gt;"nvt",E24,IF(D24&lt;&gt;"nvt",D24,IF(C24&lt;&gt;"nvt",C24,C14)))</f>
        <v>0</v>
      </c>
      <c r="G24" s="32"/>
      <c r="H24" s="32"/>
      <c r="I24" s="33"/>
    </row>
    <row r="27" spans="2:12" x14ac:dyDescent="0.3">
      <c r="B27" s="37" t="s">
        <v>27</v>
      </c>
      <c r="C27" s="38"/>
      <c r="D27" s="38"/>
      <c r="E27" s="38"/>
      <c r="F27" s="38"/>
      <c r="G27" s="38"/>
      <c r="H27" s="38"/>
      <c r="I27" s="39"/>
    </row>
    <row r="28" spans="2:12" x14ac:dyDescent="0.3">
      <c r="B28" s="40" t="s">
        <v>28</v>
      </c>
      <c r="C28" s="41"/>
      <c r="D28" s="41"/>
      <c r="E28" s="41"/>
      <c r="F28" s="41"/>
      <c r="G28" s="41"/>
      <c r="H28" s="41"/>
      <c r="I28" s="42"/>
    </row>
    <row r="29" spans="2:12" x14ac:dyDescent="0.3">
      <c r="B29" s="40" t="s">
        <v>47</v>
      </c>
      <c r="C29" s="41"/>
      <c r="D29" s="41"/>
      <c r="E29" s="41"/>
      <c r="F29" s="41"/>
      <c r="G29" s="41"/>
      <c r="H29" s="41"/>
      <c r="I29" s="42"/>
    </row>
    <row r="30" spans="2:12" x14ac:dyDescent="0.3">
      <c r="B30" s="40" t="s">
        <v>29</v>
      </c>
      <c r="C30" s="41"/>
      <c r="D30" s="41"/>
      <c r="E30" s="41"/>
      <c r="F30" s="41"/>
      <c r="G30" s="41"/>
      <c r="H30" s="41"/>
      <c r="I30" s="42"/>
    </row>
    <row r="31" spans="2:12" x14ac:dyDescent="0.3">
      <c r="B31" s="40" t="s">
        <v>30</v>
      </c>
      <c r="C31" s="41"/>
      <c r="D31" s="41"/>
      <c r="E31" s="41"/>
      <c r="F31" s="41"/>
      <c r="G31" s="41"/>
      <c r="H31" s="41"/>
      <c r="I31" s="42"/>
    </row>
    <row r="32" spans="2:12" x14ac:dyDescent="0.3">
      <c r="B32" s="40" t="s">
        <v>31</v>
      </c>
      <c r="C32" s="41"/>
      <c r="D32" s="41"/>
      <c r="E32" s="41"/>
      <c r="F32" s="41"/>
      <c r="G32" s="41"/>
      <c r="H32" s="41"/>
      <c r="I32" s="42"/>
    </row>
    <row r="33" spans="2:9" x14ac:dyDescent="0.3">
      <c r="B33" s="43" t="s">
        <v>32</v>
      </c>
      <c r="C33" s="41"/>
      <c r="D33" s="41"/>
      <c r="E33" s="41"/>
      <c r="F33" s="41"/>
      <c r="G33" s="41"/>
      <c r="H33" s="41"/>
      <c r="I33" s="42"/>
    </row>
    <row r="34" spans="2:9" x14ac:dyDescent="0.3">
      <c r="B34" s="43" t="s">
        <v>38</v>
      </c>
      <c r="C34" s="41"/>
      <c r="D34" s="41"/>
      <c r="E34" s="41"/>
      <c r="F34" s="41"/>
      <c r="G34" s="41"/>
      <c r="H34" s="41"/>
      <c r="I34" s="42"/>
    </row>
    <row r="35" spans="2:9" x14ac:dyDescent="0.3">
      <c r="B35" s="44" t="s">
        <v>33</v>
      </c>
      <c r="C35" s="45"/>
      <c r="D35" s="45"/>
      <c r="E35" s="45"/>
      <c r="F35" s="45"/>
      <c r="G35" s="45"/>
      <c r="H35" s="45"/>
      <c r="I35" s="46"/>
    </row>
  </sheetData>
  <sheetProtection password="F09B" sheet="1" objects="1" scenarios="1"/>
  <protectedRanges>
    <protectedRange sqref="C3 C9:C10 C13:C14" name="Bereik1"/>
  </protectedRanges>
  <dataValidations count="2">
    <dataValidation type="list" allowBlank="1" showInputMessage="1" showErrorMessage="1" sqref="C9">
      <formula1>"Nee, Ja"</formula1>
    </dataValidation>
    <dataValidation type="list" allowBlank="1" showInputMessage="1" showErrorMessage="1" sqref="C10">
      <formula1>"Nee, AOW_gehuwd, 2xAOW_gehuwd"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Q8" sqref="Q8"/>
    </sheetView>
  </sheetViews>
  <sheetFormatPr defaultRowHeight="14.4" x14ac:dyDescent="0.3"/>
  <cols>
    <col min="1" max="1" width="9.5546875" customWidth="1"/>
    <col min="2" max="2" width="12.77734375" customWidth="1"/>
    <col min="3" max="3" width="13.21875" customWidth="1"/>
    <col min="6" max="6" width="12.44140625" customWidth="1"/>
    <col min="7" max="7" width="13.21875" customWidth="1"/>
    <col min="9" max="9" width="9.44140625" bestFit="1" customWidth="1"/>
    <col min="10" max="10" width="13.44140625" customWidth="1"/>
    <col min="11" max="11" width="12.21875" customWidth="1"/>
    <col min="13" max="13" width="10.77734375" customWidth="1"/>
    <col min="14" max="14" width="12.44140625" customWidth="1"/>
    <col min="15" max="15" width="10.77734375" customWidth="1"/>
  </cols>
  <sheetData>
    <row r="1" spans="1:18" x14ac:dyDescent="0.3">
      <c r="A1" s="1" t="s">
        <v>0</v>
      </c>
      <c r="B1" s="1"/>
      <c r="E1" s="1" t="s">
        <v>1</v>
      </c>
      <c r="F1" s="1"/>
      <c r="I1" s="1" t="s">
        <v>45</v>
      </c>
      <c r="J1" s="1"/>
      <c r="M1" s="7" t="s">
        <v>46</v>
      </c>
      <c r="N1" s="7"/>
      <c r="O1" s="7"/>
    </row>
    <row r="2" spans="1:18" x14ac:dyDescent="0.3">
      <c r="A2" t="s">
        <v>3</v>
      </c>
      <c r="B2" t="s">
        <v>4</v>
      </c>
      <c r="C2" s="2" t="s">
        <v>5</v>
      </c>
      <c r="E2" t="s">
        <v>3</v>
      </c>
      <c r="F2" t="s">
        <v>4</v>
      </c>
      <c r="G2" t="s">
        <v>5</v>
      </c>
      <c r="I2" t="s">
        <v>3</v>
      </c>
      <c r="J2" t="s">
        <v>4</v>
      </c>
      <c r="K2" t="s">
        <v>5</v>
      </c>
      <c r="M2" s="17" t="s">
        <v>3</v>
      </c>
      <c r="N2" s="17" t="s">
        <v>4</v>
      </c>
      <c r="O2" t="s">
        <v>5</v>
      </c>
    </row>
    <row r="3" spans="1:18" x14ac:dyDescent="0.3">
      <c r="A3">
        <v>55</v>
      </c>
      <c r="B3" s="3">
        <v>0.58160000000000001</v>
      </c>
      <c r="C3" s="3">
        <v>0.53180000000000005</v>
      </c>
      <c r="E3">
        <v>55</v>
      </c>
      <c r="F3" s="3">
        <v>0.22800000000000001</v>
      </c>
      <c r="G3" s="4">
        <v>0.18959999999999999</v>
      </c>
      <c r="I3">
        <v>57</v>
      </c>
      <c r="J3" s="5">
        <v>2.8906999999999998</v>
      </c>
      <c r="K3" s="5">
        <v>2.5676000000000001</v>
      </c>
      <c r="M3">
        <v>57</v>
      </c>
      <c r="N3">
        <v>2.8237999999999999</v>
      </c>
      <c r="O3">
        <v>2.5118999999999998</v>
      </c>
    </row>
    <row r="4" spans="1:18" x14ac:dyDescent="0.3">
      <c r="A4">
        <v>56</v>
      </c>
      <c r="B4" s="3">
        <v>0.60070000000000001</v>
      </c>
      <c r="C4" s="3">
        <v>0.55320000000000003</v>
      </c>
      <c r="E4">
        <v>56</v>
      </c>
      <c r="F4" s="3">
        <v>0.23530000000000001</v>
      </c>
      <c r="G4" s="4">
        <v>0.19689999999999999</v>
      </c>
      <c r="I4">
        <v>58</v>
      </c>
      <c r="J4" s="5">
        <v>3.1</v>
      </c>
      <c r="K4" s="5">
        <v>2.7524999999999999</v>
      </c>
      <c r="M4">
        <v>58</v>
      </c>
      <c r="N4" s="5">
        <v>3.0202</v>
      </c>
      <c r="O4" s="5">
        <v>2.6857000000000002</v>
      </c>
    </row>
    <row r="5" spans="1:18" x14ac:dyDescent="0.3">
      <c r="A5">
        <v>57</v>
      </c>
      <c r="B5" s="3">
        <v>0.62129999999999996</v>
      </c>
      <c r="C5" s="3">
        <v>0.57599999999999996</v>
      </c>
      <c r="E5">
        <v>57</v>
      </c>
      <c r="F5" s="3">
        <v>0.24279999999999999</v>
      </c>
      <c r="G5" s="4">
        <v>0.2046</v>
      </c>
      <c r="I5">
        <v>59</v>
      </c>
      <c r="J5" s="5">
        <v>3.3620000000000001</v>
      </c>
      <c r="K5" s="5">
        <v>2.984</v>
      </c>
      <c r="M5">
        <v>59</v>
      </c>
      <c r="N5" s="5">
        <v>3.2645</v>
      </c>
      <c r="O5" s="5">
        <v>2.9020000000000001</v>
      </c>
    </row>
    <row r="6" spans="1:18" x14ac:dyDescent="0.3">
      <c r="A6">
        <v>58</v>
      </c>
      <c r="B6" s="3">
        <v>0.64329999999999998</v>
      </c>
      <c r="C6" s="3">
        <v>0.60060000000000002</v>
      </c>
      <c r="E6">
        <v>58</v>
      </c>
      <c r="F6" s="3">
        <v>0.25059999999999999</v>
      </c>
      <c r="G6" s="4">
        <v>0.21249999999999999</v>
      </c>
      <c r="I6">
        <v>60</v>
      </c>
      <c r="J6" s="5">
        <v>3.6991999999999998</v>
      </c>
      <c r="K6" s="5">
        <v>3.282</v>
      </c>
      <c r="M6">
        <v>60</v>
      </c>
      <c r="N6" s="5">
        <v>3.5767000000000002</v>
      </c>
      <c r="O6" s="5">
        <v>3.1783000000000001</v>
      </c>
      <c r="Q6">
        <f>2/12*O6+10/12*O7</f>
        <v>3.4827166666666667</v>
      </c>
      <c r="R6">
        <f>2/12*K6+10/12*K7</f>
        <v>3.6135833333333336</v>
      </c>
    </row>
    <row r="7" spans="1:18" x14ac:dyDescent="0.3">
      <c r="A7">
        <v>59</v>
      </c>
      <c r="B7" s="3">
        <v>0.66700000000000004</v>
      </c>
      <c r="C7" s="3">
        <v>0.627</v>
      </c>
      <c r="E7">
        <v>59</v>
      </c>
      <c r="F7" s="3">
        <v>0.25879999999999997</v>
      </c>
      <c r="G7" s="4">
        <v>0.22090000000000001</v>
      </c>
      <c r="I7">
        <v>61</v>
      </c>
      <c r="J7" s="5">
        <v>4.1494999999999997</v>
      </c>
      <c r="K7" s="5">
        <v>3.6798999999999999</v>
      </c>
      <c r="M7">
        <v>61</v>
      </c>
      <c r="N7" s="5">
        <v>3.9893999999999998</v>
      </c>
      <c r="O7" s="5">
        <v>3.5436000000000001</v>
      </c>
      <c r="Q7">
        <f>2/12*N6+10/12*N7</f>
        <v>3.9206166666666666</v>
      </c>
      <c r="R7">
        <f>2/12*J6+10/12*J7</f>
        <v>4.0744499999999997</v>
      </c>
    </row>
    <row r="8" spans="1:18" x14ac:dyDescent="0.3">
      <c r="A8">
        <v>60</v>
      </c>
      <c r="B8" s="3">
        <v>0.69259999999999999</v>
      </c>
      <c r="C8" s="3">
        <v>0.65549999999999997</v>
      </c>
      <c r="E8">
        <v>60</v>
      </c>
      <c r="F8" s="3">
        <v>0.26729999999999998</v>
      </c>
      <c r="G8" s="4">
        <v>0.2296</v>
      </c>
      <c r="I8">
        <v>62</v>
      </c>
      <c r="J8" s="5">
        <v>4.7805999999999997</v>
      </c>
      <c r="K8" s="5">
        <v>4.2375999999999996</v>
      </c>
      <c r="M8">
        <v>62</v>
      </c>
      <c r="N8" s="5">
        <v>4.5601000000000003</v>
      </c>
      <c r="O8" s="5">
        <v>4.0487000000000002</v>
      </c>
    </row>
    <row r="9" spans="1:18" x14ac:dyDescent="0.3">
      <c r="A9">
        <v>61</v>
      </c>
      <c r="B9" s="3">
        <v>0.72030000000000005</v>
      </c>
      <c r="C9" s="3">
        <v>0.68640000000000001</v>
      </c>
      <c r="E9">
        <v>61</v>
      </c>
      <c r="F9" s="3">
        <v>0.27610000000000001</v>
      </c>
      <c r="G9" s="4">
        <v>0.23860000000000001</v>
      </c>
      <c r="I9">
        <v>63</v>
      </c>
      <c r="J9" s="5">
        <v>5.7283999999999997</v>
      </c>
      <c r="K9" s="5">
        <v>5.0750000000000002</v>
      </c>
      <c r="M9">
        <v>63</v>
      </c>
      <c r="N9" s="5">
        <v>5.4004000000000003</v>
      </c>
      <c r="O9" s="5">
        <v>4.7925000000000004</v>
      </c>
    </row>
    <row r="10" spans="1:18" x14ac:dyDescent="0.3">
      <c r="A10">
        <v>62</v>
      </c>
      <c r="B10" s="3">
        <v>0.75039999999999996</v>
      </c>
      <c r="C10" s="3">
        <v>0.72</v>
      </c>
      <c r="E10">
        <v>62</v>
      </c>
      <c r="F10" s="3">
        <v>0.28520000000000001</v>
      </c>
      <c r="G10" s="4">
        <v>0.24809999999999999</v>
      </c>
      <c r="I10">
        <v>64</v>
      </c>
      <c r="J10" s="5">
        <v>7.3097000000000003</v>
      </c>
      <c r="K10" s="5">
        <v>6.4721000000000002</v>
      </c>
      <c r="M10">
        <v>64</v>
      </c>
      <c r="N10" s="5">
        <v>6.7594000000000003</v>
      </c>
      <c r="O10" s="5">
        <v>5.9954999999999998</v>
      </c>
    </row>
    <row r="11" spans="1:18" x14ac:dyDescent="0.3">
      <c r="A11">
        <v>63</v>
      </c>
      <c r="B11" s="3">
        <v>0.78300000000000003</v>
      </c>
      <c r="C11" s="3">
        <v>0.75649999999999995</v>
      </c>
      <c r="E11">
        <v>63</v>
      </c>
      <c r="F11" s="3">
        <v>0.29470000000000002</v>
      </c>
      <c r="G11" s="4">
        <v>0.2581</v>
      </c>
      <c r="I11">
        <v>65</v>
      </c>
      <c r="J11" s="5">
        <v>10.4749</v>
      </c>
      <c r="K11" s="5">
        <v>9.2684999999999995</v>
      </c>
      <c r="M11">
        <v>65</v>
      </c>
      <c r="N11" s="5">
        <v>9.3294999999999995</v>
      </c>
      <c r="O11" s="5">
        <v>8.2711000000000006</v>
      </c>
    </row>
    <row r="12" spans="1:18" x14ac:dyDescent="0.3">
      <c r="A12">
        <v>64</v>
      </c>
      <c r="B12" s="3">
        <v>0.81859999999999999</v>
      </c>
      <c r="C12" s="3">
        <v>0.7964</v>
      </c>
      <c r="E12">
        <v>64</v>
      </c>
      <c r="F12" s="3">
        <v>0.30459999999999998</v>
      </c>
      <c r="G12" s="4">
        <v>0.26840000000000003</v>
      </c>
      <c r="I12">
        <v>66</v>
      </c>
      <c r="J12" s="5">
        <v>19.976299999999998</v>
      </c>
      <c r="K12" s="5">
        <v>17.662800000000001</v>
      </c>
      <c r="M12">
        <v>66</v>
      </c>
      <c r="N12" s="5">
        <v>16.020499999999998</v>
      </c>
      <c r="O12" s="5">
        <v>14.198399999999999</v>
      </c>
    </row>
    <row r="13" spans="1:18" x14ac:dyDescent="0.3">
      <c r="A13">
        <v>65</v>
      </c>
      <c r="B13" s="3">
        <v>0.85770000000000002</v>
      </c>
      <c r="C13" s="3">
        <v>0.84009999999999996</v>
      </c>
      <c r="E13">
        <v>65</v>
      </c>
      <c r="F13" s="3">
        <v>0.31480000000000002</v>
      </c>
      <c r="G13" s="4">
        <v>0.2792</v>
      </c>
      <c r="I13" s="5">
        <v>66.083333333333329</v>
      </c>
      <c r="J13" s="5">
        <v>21.7148</v>
      </c>
      <c r="K13" s="5">
        <v>19.207899999999999</v>
      </c>
      <c r="M13" s="5">
        <v>66.083333333333329</v>
      </c>
      <c r="N13" s="5">
        <v>17.103100000000001</v>
      </c>
      <c r="O13" s="5">
        <v>15.163500000000001</v>
      </c>
    </row>
    <row r="14" spans="1:18" x14ac:dyDescent="0.3">
      <c r="A14">
        <v>66</v>
      </c>
      <c r="B14" s="3">
        <v>0.90049999999999997</v>
      </c>
      <c r="C14" s="3">
        <v>0.8881</v>
      </c>
      <c r="E14">
        <v>66</v>
      </c>
      <c r="F14" s="3">
        <v>0.32550000000000001</v>
      </c>
      <c r="G14" s="4">
        <v>0.29039999999999999</v>
      </c>
      <c r="I14" s="5">
        <v>66.166666666666671</v>
      </c>
      <c r="J14" s="5">
        <v>23.800999999999998</v>
      </c>
      <c r="K14" s="5">
        <v>21.062000000000001</v>
      </c>
      <c r="M14" s="5">
        <v>66.166666666666671</v>
      </c>
      <c r="N14" s="5">
        <v>18.3522</v>
      </c>
      <c r="O14" s="5">
        <v>16.276900000000001</v>
      </c>
    </row>
    <row r="15" spans="1:18" x14ac:dyDescent="0.3">
      <c r="A15">
        <v>67</v>
      </c>
      <c r="B15" s="3">
        <v>0.94769999999999999</v>
      </c>
      <c r="C15" s="3">
        <v>0.94120000000000004</v>
      </c>
      <c r="E15">
        <v>67</v>
      </c>
      <c r="F15" s="3">
        <v>0.33650000000000002</v>
      </c>
      <c r="G15" s="4">
        <v>0.30209999999999998</v>
      </c>
      <c r="I15" s="5">
        <v>66.25</v>
      </c>
      <c r="J15" s="5">
        <v>26.3507</v>
      </c>
      <c r="K15" s="5">
        <v>23.327999999999999</v>
      </c>
      <c r="M15" s="5">
        <v>66.25</v>
      </c>
      <c r="N15" s="5">
        <v>19.8093</v>
      </c>
      <c r="O15" s="5">
        <v>17.575600000000001</v>
      </c>
    </row>
    <row r="16" spans="1:18" x14ac:dyDescent="0.3">
      <c r="A16">
        <v>68</v>
      </c>
      <c r="B16" s="3">
        <v>1</v>
      </c>
      <c r="C16" s="3">
        <v>1</v>
      </c>
      <c r="E16">
        <v>68</v>
      </c>
      <c r="F16" s="3">
        <v>0.3473</v>
      </c>
      <c r="G16" s="4">
        <v>0.31390000000000001</v>
      </c>
      <c r="I16" s="5">
        <v>66.333333333333329</v>
      </c>
      <c r="J16" s="5">
        <v>29.5379</v>
      </c>
      <c r="K16" s="5">
        <v>26.160699999999999</v>
      </c>
      <c r="M16" s="5">
        <v>66.333333333333329</v>
      </c>
      <c r="N16" s="5">
        <v>21.531099999999999</v>
      </c>
      <c r="O16" s="5">
        <v>19.11</v>
      </c>
    </row>
    <row r="17" spans="9:15" x14ac:dyDescent="0.3">
      <c r="I17" s="5">
        <v>66.416666666666671</v>
      </c>
      <c r="J17" s="5">
        <v>33.635800000000003</v>
      </c>
      <c r="K17" s="5">
        <v>29.802600000000002</v>
      </c>
      <c r="M17" s="5">
        <v>66.416666666666671</v>
      </c>
      <c r="N17" s="5">
        <v>23.597000000000001</v>
      </c>
      <c r="O17" s="5">
        <v>20.950800000000001</v>
      </c>
    </row>
    <row r="18" spans="9:15" x14ac:dyDescent="0.3">
      <c r="I18" s="5">
        <v>66.5</v>
      </c>
      <c r="J18" s="5">
        <v>39.099499999999999</v>
      </c>
      <c r="K18" s="5">
        <v>34.658499999999997</v>
      </c>
      <c r="M18" s="5">
        <v>66.5</v>
      </c>
      <c r="N18" s="5">
        <v>26.121700000000001</v>
      </c>
      <c r="O18" s="5">
        <v>23.1999</v>
      </c>
    </row>
    <row r="19" spans="9:15" x14ac:dyDescent="0.3">
      <c r="I19" s="5">
        <v>66.583333333333329</v>
      </c>
      <c r="J19" s="5">
        <v>46.748800000000003</v>
      </c>
      <c r="K19" s="5">
        <v>41.456699999999998</v>
      </c>
      <c r="M19" s="5">
        <v>66.583333333333329</v>
      </c>
      <c r="N19" s="5">
        <v>29.276900000000001</v>
      </c>
      <c r="O19" s="5">
        <v>26.010200000000001</v>
      </c>
    </row>
    <row r="20" spans="9:15" x14ac:dyDescent="0.3">
      <c r="I20" s="5">
        <v>66.666666666666671</v>
      </c>
      <c r="J20" s="5">
        <v>58.222700000000003</v>
      </c>
      <c r="K20" s="5">
        <v>51.6541</v>
      </c>
      <c r="M20" s="5">
        <v>66.666666666666671</v>
      </c>
      <c r="N20" s="5">
        <v>33.332500000000003</v>
      </c>
      <c r="O20" s="5">
        <v>29.621500000000001</v>
      </c>
    </row>
    <row r="21" spans="9:15" x14ac:dyDescent="0.3">
      <c r="I21" s="5">
        <v>66.75</v>
      </c>
      <c r="J21" s="5">
        <v>77.3459</v>
      </c>
      <c r="K21" s="5">
        <v>68.649799999999999</v>
      </c>
      <c r="M21" s="5">
        <v>66.75</v>
      </c>
      <c r="N21" s="5">
        <v>38.738399999999999</v>
      </c>
      <c r="O21" s="5">
        <v>34.433199999999999</v>
      </c>
    </row>
    <row r="22" spans="9:15" x14ac:dyDescent="0.3">
      <c r="I22" s="5">
        <v>66.833333333333329</v>
      </c>
      <c r="J22" s="5">
        <v>115.59229999999999</v>
      </c>
      <c r="K22" s="5">
        <v>102.64100000000001</v>
      </c>
      <c r="M22" s="5">
        <v>66.833333333333329</v>
      </c>
      <c r="N22" s="5">
        <v>46.303199999999997</v>
      </c>
      <c r="O22" s="5">
        <v>41.1631</v>
      </c>
    </row>
    <row r="23" spans="9:15" x14ac:dyDescent="0.3">
      <c r="I23" s="5">
        <v>66.916666666666671</v>
      </c>
      <c r="J23" s="5">
        <v>230.33150000000001</v>
      </c>
      <c r="K23" s="5">
        <v>204.61500000000001</v>
      </c>
      <c r="M23" s="5">
        <v>66.916666666666671</v>
      </c>
      <c r="N23" s="5">
        <v>57.643099999999997</v>
      </c>
      <c r="O23" s="5">
        <v>51.244199999999999</v>
      </c>
    </row>
    <row r="24" spans="9:15" x14ac:dyDescent="0.3">
      <c r="M24" s="5">
        <v>67</v>
      </c>
      <c r="N24" s="5">
        <v>76.523399999999995</v>
      </c>
      <c r="O24" s="5">
        <v>68.008799999999994</v>
      </c>
    </row>
    <row r="25" spans="9:15" x14ac:dyDescent="0.3">
      <c r="M25" s="5">
        <v>67.0833333333334</v>
      </c>
      <c r="N25">
        <v>114.36190000000001</v>
      </c>
      <c r="O25">
        <v>101.67829999999999</v>
      </c>
    </row>
    <row r="26" spans="9:15" x14ac:dyDescent="0.3">
      <c r="M26" s="5">
        <v>67.1666666666667</v>
      </c>
      <c r="N26">
        <v>227.87739999999999</v>
      </c>
      <c r="O26">
        <v>202.68690000000001</v>
      </c>
    </row>
    <row r="27" spans="9:15" x14ac:dyDescent="0.3">
      <c r="M27" s="5"/>
    </row>
  </sheetData>
  <sheetProtection password="F09B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Vergelijker ruilvoeten 23-24</vt:lpstr>
      <vt:lpstr>Factoren</vt:lpstr>
      <vt:lpstr>AOWcomp</vt:lpstr>
      <vt:lpstr>AOWComp2</vt:lpstr>
      <vt:lpstr>Uitruil</vt:lpstr>
      <vt:lpstr>Vervroegen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Huiskes, Bas</dc:creator>
  <cp:lastModifiedBy>Smits, Diane</cp:lastModifiedBy>
  <dcterms:created xsi:type="dcterms:W3CDTF">2023-05-24T13:44:28Z</dcterms:created>
  <dcterms:modified xsi:type="dcterms:W3CDTF">2023-11-02T21:22:27Z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2023-05-24T13:44:29Z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83739749-7e54-4759-9d56-7d19c3e978bd</vt:lpwstr>
  </property>
  <property fmtid="{D5CDD505-2E9C-101B-9397-08002B2CF9AE}" pid="8" name="MSIP_Label_38f1469a-2c2a-4aee-b92b-090d4c5468ff_ContentBits">
    <vt:lpwstr>0</vt:lpwstr>
  </property>
  <property fmtid="{D5CDD505-2E9C-101B-9397-08002B2CF9AE}" pid="9" name="_AdHocReviewCycleID">
    <vt:i4>-311499361</vt:i4>
  </property>
  <property fmtid="{D5CDD505-2E9C-101B-9397-08002B2CF9AE}" pid="10" name="_NewReviewCycle">
    <vt:lpwstr/>
  </property>
  <property fmtid="{D5CDD505-2E9C-101B-9397-08002B2CF9AE}" pid="11" name="_EmailSubject">
    <vt:lpwstr>Vergelijker ruilvoeten 2023-2024</vt:lpwstr>
  </property>
  <property fmtid="{D5CDD505-2E9C-101B-9397-08002B2CF9AE}" pid="12" name="_AuthorEmail">
    <vt:lpwstr>diane.smits@exxonmobil.com</vt:lpwstr>
  </property>
  <property fmtid="{D5CDD505-2E9C-101B-9397-08002B2CF9AE}" pid="13" name="_AuthorEmailDisplayName">
    <vt:lpwstr>Smits, Diane</vt:lpwstr>
  </property>
  <property fmtid="{D5CDD505-2E9C-101B-9397-08002B2CF9AE}" pid="14" name="_ReviewingToolsShownOnce">
    <vt:lpwstr/>
  </property>
</Properties>
</file>